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PTOADM\COMPRAS\PREGÕES ELETRÔNICOS\2021\PE 092021 IRP 052021 - Serviço de Vigias (REPETIÇÃO)\"/>
    </mc:Choice>
  </mc:AlternateContent>
  <bookViews>
    <workbookView xWindow="0" yWindow="0" windowWidth="24000" windowHeight="9675" activeTab="5"/>
  </bookViews>
  <sheets>
    <sheet name="44H - Lajeado" sheetId="1" r:id="rId1"/>
    <sheet name="44H - Gravataí" sheetId="2" r:id="rId2"/>
    <sheet name="30H - Gravataí" sheetId="3" r:id="rId3"/>
    <sheet name="INSUMOS - Lajeado" sheetId="4" r:id="rId4"/>
    <sheet name="INSUMOS - Gravataí" sheetId="5" r:id="rId5"/>
    <sheet name="RESUMO" sheetId="6" r:id="rId6"/>
  </sheets>
  <calcPr calcId="152511"/>
  <extLst>
    <ext uri="GoogleSheetsCustomDataVersion1">
      <go:sheetsCustomData xmlns:go="http://customooxmlschemas.google.com/" r:id="rId10" roundtripDataSignature="AMtx7mjik0e0DJFAN12RURXVPWyF/T6RNg=="/>
    </ext>
  </extLst>
</workbook>
</file>

<file path=xl/calcChain.xml><?xml version="1.0" encoding="utf-8"?>
<calcChain xmlns="http://schemas.openxmlformats.org/spreadsheetml/2006/main">
  <c r="F4" i="6" l="1"/>
  <c r="E24" i="5"/>
  <c r="E23" i="5"/>
  <c r="E22" i="5"/>
  <c r="E21" i="5"/>
  <c r="E20" i="5"/>
  <c r="E19" i="5"/>
  <c r="E18" i="5"/>
  <c r="E17" i="5"/>
  <c r="E16" i="5"/>
  <c r="E15" i="5"/>
  <c r="E14" i="5"/>
  <c r="E13" i="5"/>
  <c r="E25" i="5" s="1"/>
  <c r="E12" i="5"/>
  <c r="G5" i="5"/>
  <c r="E5" i="5"/>
  <c r="E4" i="5"/>
  <c r="G4" i="5" s="1"/>
  <c r="G3" i="5"/>
  <c r="E3" i="5"/>
  <c r="E2" i="5"/>
  <c r="G2" i="5" s="1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25" i="4" s="1"/>
  <c r="E5" i="4"/>
  <c r="G5" i="4" s="1"/>
  <c r="G4" i="4"/>
  <c r="E4" i="4"/>
  <c r="E3" i="4"/>
  <c r="G3" i="4" s="1"/>
  <c r="G2" i="4"/>
  <c r="E2" i="4"/>
  <c r="G191" i="3"/>
  <c r="G184" i="3"/>
  <c r="G185" i="3" s="1"/>
  <c r="H163" i="3"/>
  <c r="I77" i="3"/>
  <c r="H60" i="3"/>
  <c r="H66" i="3" s="1"/>
  <c r="I41" i="3"/>
  <c r="I33" i="3"/>
  <c r="H25" i="3"/>
  <c r="H26" i="3" s="1"/>
  <c r="H28" i="3" s="1"/>
  <c r="H15" i="3"/>
  <c r="G191" i="2"/>
  <c r="G184" i="2"/>
  <c r="G185" i="2" s="1"/>
  <c r="H163" i="2"/>
  <c r="I77" i="2"/>
  <c r="H60" i="2"/>
  <c r="H66" i="2" s="1"/>
  <c r="I51" i="2"/>
  <c r="I43" i="2"/>
  <c r="I41" i="2"/>
  <c r="I38" i="2"/>
  <c r="I33" i="2"/>
  <c r="I72" i="2" s="1"/>
  <c r="I85" i="2" s="1"/>
  <c r="I91" i="2" s="1"/>
  <c r="H26" i="2"/>
  <c r="H28" i="2" s="1"/>
  <c r="I123" i="2" s="1"/>
  <c r="H25" i="2"/>
  <c r="H27" i="2" s="1"/>
  <c r="H15" i="2"/>
  <c r="G191" i="1"/>
  <c r="G185" i="1"/>
  <c r="G184" i="1"/>
  <c r="J172" i="1"/>
  <c r="H163" i="1"/>
  <c r="I122" i="1"/>
  <c r="J110" i="1"/>
  <c r="J77" i="1"/>
  <c r="I77" i="1"/>
  <c r="H60" i="1"/>
  <c r="H66" i="1" s="1"/>
  <c r="J43" i="1"/>
  <c r="I41" i="1"/>
  <c r="I36" i="1"/>
  <c r="J33" i="1"/>
  <c r="I33" i="1"/>
  <c r="J25" i="1"/>
  <c r="J26" i="1" s="1"/>
  <c r="J28" i="1" s="1"/>
  <c r="H25" i="1"/>
  <c r="J36" i="1" s="1"/>
  <c r="H15" i="1"/>
  <c r="I123" i="3" l="1"/>
  <c r="I35" i="3"/>
  <c r="H26" i="1"/>
  <c r="H28" i="1" s="1"/>
  <c r="I72" i="1"/>
  <c r="I85" i="1" s="1"/>
  <c r="I91" i="1" s="1"/>
  <c r="I99" i="2"/>
  <c r="I100" i="2" s="1"/>
  <c r="I50" i="2"/>
  <c r="I114" i="2"/>
  <c r="G6" i="4"/>
  <c r="J27" i="1"/>
  <c r="J72" i="1"/>
  <c r="J85" i="1" s="1"/>
  <c r="J91" i="1" s="1"/>
  <c r="C33" i="4"/>
  <c r="D33" i="4" s="1"/>
  <c r="G33" i="4" s="1"/>
  <c r="E26" i="4"/>
  <c r="C33" i="5"/>
  <c r="D33" i="5" s="1"/>
  <c r="G33" i="5" s="1"/>
  <c r="E26" i="5"/>
  <c r="H27" i="1"/>
  <c r="K28" i="1"/>
  <c r="I172" i="2"/>
  <c r="I96" i="2"/>
  <c r="I110" i="2"/>
  <c r="G6" i="5"/>
  <c r="H27" i="3"/>
  <c r="I34" i="3" s="1"/>
  <c r="I38" i="3" s="1"/>
  <c r="I122" i="2"/>
  <c r="I124" i="2" s="1"/>
  <c r="I36" i="3"/>
  <c r="I72" i="3"/>
  <c r="I85" i="3" s="1"/>
  <c r="I91" i="3" s="1"/>
  <c r="I122" i="3"/>
  <c r="I124" i="3" s="1"/>
  <c r="I99" i="3" l="1"/>
  <c r="I100" i="3" s="1"/>
  <c r="I51" i="3"/>
  <c r="I101" i="3"/>
  <c r="I50" i="3"/>
  <c r="I52" i="3" s="1"/>
  <c r="I114" i="3"/>
  <c r="I110" i="3"/>
  <c r="I96" i="3"/>
  <c r="I43" i="3"/>
  <c r="I97" i="2"/>
  <c r="I102" i="2" s="1"/>
  <c r="I174" i="2" s="1"/>
  <c r="I138" i="3"/>
  <c r="I138" i="2"/>
  <c r="I52" i="2"/>
  <c r="I98" i="2"/>
  <c r="C30" i="5"/>
  <c r="G7" i="5"/>
  <c r="J34" i="1"/>
  <c r="I34" i="1"/>
  <c r="I123" i="1"/>
  <c r="I124" i="1" s="1"/>
  <c r="J35" i="1"/>
  <c r="I35" i="1"/>
  <c r="I125" i="3"/>
  <c r="I126" i="3" s="1"/>
  <c r="J138" i="1"/>
  <c r="I138" i="1"/>
  <c r="I125" i="2"/>
  <c r="I126" i="2" s="1"/>
  <c r="C30" i="4"/>
  <c r="G7" i="4"/>
  <c r="I101" i="2"/>
  <c r="I106" i="2"/>
  <c r="I127" i="2" l="1"/>
  <c r="I128" i="2" s="1"/>
  <c r="I133" i="2" s="1"/>
  <c r="I128" i="3"/>
  <c r="I133" i="3" s="1"/>
  <c r="I127" i="3"/>
  <c r="I172" i="3"/>
  <c r="D30" i="4"/>
  <c r="F30" i="4" s="1"/>
  <c r="B35" i="4"/>
  <c r="D35" i="4" s="1"/>
  <c r="I38" i="1"/>
  <c r="I102" i="3"/>
  <c r="I174" i="3" s="1"/>
  <c r="I97" i="3"/>
  <c r="I113" i="2"/>
  <c r="I115" i="2"/>
  <c r="I111" i="2"/>
  <c r="I116" i="2" s="1"/>
  <c r="I112" i="2"/>
  <c r="I53" i="2"/>
  <c r="I54" i="2" s="1"/>
  <c r="I125" i="1"/>
  <c r="I126" i="1"/>
  <c r="B35" i="5"/>
  <c r="D35" i="5" s="1"/>
  <c r="D30" i="5"/>
  <c r="F30" i="5" s="1"/>
  <c r="I53" i="3"/>
  <c r="I54" i="3" s="1"/>
  <c r="I98" i="3"/>
  <c r="I106" i="3"/>
  <c r="I65" i="2" l="1"/>
  <c r="I58" i="2"/>
  <c r="I61" i="2"/>
  <c r="I89" i="2"/>
  <c r="I64" i="2"/>
  <c r="I62" i="2"/>
  <c r="I60" i="2"/>
  <c r="I63" i="2"/>
  <c r="I59" i="2"/>
  <c r="I89" i="3"/>
  <c r="I63" i="3"/>
  <c r="I65" i="3"/>
  <c r="I62" i="3"/>
  <c r="I61" i="3"/>
  <c r="I64" i="3"/>
  <c r="I59" i="3"/>
  <c r="I58" i="3"/>
  <c r="I60" i="3"/>
  <c r="I113" i="3"/>
  <c r="I112" i="3"/>
  <c r="I115" i="3"/>
  <c r="I111" i="3"/>
  <c r="I116" i="3" s="1"/>
  <c r="G35" i="5"/>
  <c r="I139" i="3"/>
  <c r="I141" i="3" s="1"/>
  <c r="I176" i="3" s="1"/>
  <c r="I139" i="2"/>
  <c r="I141" i="2" s="1"/>
  <c r="I176" i="2" s="1"/>
  <c r="I117" i="2"/>
  <c r="I118" i="2" s="1"/>
  <c r="I132" i="2" s="1"/>
  <c r="I134" i="2" s="1"/>
  <c r="I175" i="2" s="1"/>
  <c r="G35" i="4"/>
  <c r="J139" i="1"/>
  <c r="J141" i="1" s="1"/>
  <c r="J176" i="1" s="1"/>
  <c r="I139" i="1"/>
  <c r="I141" i="1" s="1"/>
  <c r="I176" i="1" s="1"/>
  <c r="I127" i="1"/>
  <c r="I128" i="1" s="1"/>
  <c r="I114" i="1"/>
  <c r="I110" i="1"/>
  <c r="I50" i="1"/>
  <c r="I52" i="1" s="1"/>
  <c r="J114" i="1"/>
  <c r="J50" i="1"/>
  <c r="J99" i="1"/>
  <c r="J100" i="1" s="1"/>
  <c r="I99" i="1"/>
  <c r="I100" i="1" s="1"/>
  <c r="J51" i="1"/>
  <c r="I43" i="1"/>
  <c r="J98" i="1"/>
  <c r="I51" i="1"/>
  <c r="J133" i="1" l="1"/>
  <c r="I133" i="1"/>
  <c r="I101" i="1"/>
  <c r="I172" i="1"/>
  <c r="J96" i="1"/>
  <c r="J52" i="1"/>
  <c r="J106" i="1"/>
  <c r="J101" i="1"/>
  <c r="I106" i="1"/>
  <c r="I98" i="1"/>
  <c r="I118" i="3"/>
  <c r="I132" i="3" s="1"/>
  <c r="I134" i="3" s="1"/>
  <c r="I175" i="3" s="1"/>
  <c r="I117" i="3"/>
  <c r="I66" i="2"/>
  <c r="I90" i="2" s="1"/>
  <c r="I92" i="2" s="1"/>
  <c r="I54" i="1"/>
  <c r="I53" i="1"/>
  <c r="I96" i="1"/>
  <c r="I66" i="3"/>
  <c r="I90" i="3" s="1"/>
  <c r="I92" i="3" s="1"/>
  <c r="I173" i="2" l="1"/>
  <c r="I177" i="2" s="1"/>
  <c r="I147" i="2"/>
  <c r="I148" i="2" s="1"/>
  <c r="I149" i="2"/>
  <c r="I150" i="2" s="1"/>
  <c r="I173" i="3"/>
  <c r="I177" i="3" s="1"/>
  <c r="I147" i="3"/>
  <c r="I148" i="3" s="1"/>
  <c r="I112" i="1"/>
  <c r="J111" i="1"/>
  <c r="I111" i="1"/>
  <c r="I115" i="1"/>
  <c r="I113" i="1"/>
  <c r="I97" i="1"/>
  <c r="I102" i="1" s="1"/>
  <c r="I174" i="1" s="1"/>
  <c r="J113" i="1"/>
  <c r="J115" i="1"/>
  <c r="J112" i="1"/>
  <c r="I89" i="1"/>
  <c r="I59" i="1"/>
  <c r="J63" i="1"/>
  <c r="I58" i="1"/>
  <c r="I65" i="1"/>
  <c r="I64" i="1"/>
  <c r="J64" i="1"/>
  <c r="I61" i="1"/>
  <c r="J65" i="1"/>
  <c r="I62" i="1"/>
  <c r="J62" i="1"/>
  <c r="J58" i="1"/>
  <c r="I63" i="1"/>
  <c r="J60" i="1"/>
  <c r="I60" i="1"/>
  <c r="J61" i="1"/>
  <c r="J59" i="1"/>
  <c r="J97" i="1"/>
  <c r="J102" i="1" s="1"/>
  <c r="J174" i="1" s="1"/>
  <c r="J53" i="1"/>
  <c r="J54" i="1"/>
  <c r="J89" i="1" s="1"/>
  <c r="J66" i="1" l="1"/>
  <c r="J90" i="1" s="1"/>
  <c r="J92" i="1" s="1"/>
  <c r="I66" i="1"/>
  <c r="I90" i="1" s="1"/>
  <c r="I92" i="1" s="1"/>
  <c r="I116" i="1"/>
  <c r="J116" i="1"/>
  <c r="I149" i="3"/>
  <c r="I150" i="3" s="1"/>
  <c r="I151" i="2"/>
  <c r="I173" i="1" l="1"/>
  <c r="J173" i="1"/>
  <c r="J117" i="1"/>
  <c r="J118" i="1" s="1"/>
  <c r="J132" i="1" s="1"/>
  <c r="J134" i="1" s="1"/>
  <c r="I151" i="3"/>
  <c r="I154" i="2"/>
  <c r="I160" i="2"/>
  <c r="I155" i="2"/>
  <c r="I117" i="1"/>
  <c r="I118" i="1" s="1"/>
  <c r="I132" i="1" s="1"/>
  <c r="I134" i="1" s="1"/>
  <c r="I175" i="1" l="1"/>
  <c r="I147" i="1"/>
  <c r="I148" i="1" s="1"/>
  <c r="I149" i="1"/>
  <c r="I150" i="1" s="1"/>
  <c r="J175" i="1"/>
  <c r="J177" i="1" s="1"/>
  <c r="J147" i="1"/>
  <c r="I163" i="2"/>
  <c r="I161" i="2"/>
  <c r="I178" i="2" s="1"/>
  <c r="I179" i="2" s="1"/>
  <c r="E184" i="2" s="1"/>
  <c r="I154" i="3"/>
  <c r="I160" i="3"/>
  <c r="I155" i="3"/>
  <c r="I177" i="1"/>
  <c r="H184" i="2" l="1"/>
  <c r="H185" i="2" s="1"/>
  <c r="G189" i="2" s="1"/>
  <c r="G193" i="2" s="1"/>
  <c r="E14" i="6"/>
  <c r="G14" i="6" s="1"/>
  <c r="I163" i="3"/>
  <c r="I161" i="3"/>
  <c r="I178" i="3" s="1"/>
  <c r="I179" i="3" s="1"/>
  <c r="E184" i="3" s="1"/>
  <c r="J148" i="1"/>
  <c r="J149" i="1" s="1"/>
  <c r="I151" i="1"/>
  <c r="J150" i="1" l="1"/>
  <c r="J151" i="1" s="1"/>
  <c r="E15" i="6"/>
  <c r="G15" i="6" s="1"/>
  <c r="H184" i="3"/>
  <c r="H185" i="3" s="1"/>
  <c r="G189" i="3" s="1"/>
  <c r="G193" i="3" s="1"/>
  <c r="I160" i="1"/>
  <c r="J155" i="1"/>
  <c r="I155" i="1"/>
  <c r="I154" i="1"/>
  <c r="J154" i="1" l="1"/>
  <c r="J160" i="1"/>
  <c r="I163" i="1"/>
  <c r="I161" i="1"/>
  <c r="I178" i="1" s="1"/>
  <c r="I179" i="1" s="1"/>
  <c r="E184" i="1" s="1"/>
  <c r="E13" i="6" l="1"/>
  <c r="G13" i="6" s="1"/>
  <c r="G16" i="6" s="1"/>
  <c r="H184" i="1"/>
  <c r="H185" i="1" s="1"/>
  <c r="J163" i="1"/>
  <c r="J161" i="1"/>
  <c r="J178" i="1" s="1"/>
  <c r="J179" i="1" s="1"/>
  <c r="J185" i="1" s="1"/>
  <c r="G189" i="1" l="1"/>
  <c r="G193" i="1" s="1"/>
  <c r="J189" i="1"/>
  <c r="J193" i="1" s="1"/>
  <c r="G21" i="6"/>
  <c r="G19" i="6"/>
</calcChain>
</file>

<file path=xl/sharedStrings.xml><?xml version="1.0" encoding="utf-8"?>
<sst xmlns="http://schemas.openxmlformats.org/spreadsheetml/2006/main" count="1116" uniqueCount="347">
  <si>
    <r>
      <rPr>
        <b/>
        <sz val="15"/>
        <color rgb="FFFF0000"/>
        <rFont val="Arial"/>
      </rPr>
      <t xml:space="preserve">ANEXO IV-B - </t>
    </r>
    <r>
      <rPr>
        <b/>
        <sz val="15"/>
        <color rgb="FF800080"/>
        <rFont val="Arial"/>
      </rPr>
      <t xml:space="preserve">VIGIA 44 Horas Semanais - </t>
    </r>
    <r>
      <rPr>
        <b/>
        <sz val="16"/>
        <color rgb="FFFF0000"/>
        <rFont val="Arial"/>
      </rPr>
      <t>CONTA VINCULADA</t>
    </r>
  </si>
  <si>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</si>
  <si>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</si>
  <si>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</si>
  <si>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</si>
  <si>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</si>
  <si>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</si>
  <si>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</si>
  <si>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Lajeado</t>
  </si>
  <si>
    <t>C</t>
  </si>
  <si>
    <t>Ano do Acordo, Convenção ou Dissídio coletivo (MTE RS000162/2021)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</si>
  <si>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</si>
  <si>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</si>
  <si>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</si>
  <si>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</si>
  <si>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</si>
  <si>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</si>
  <si>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44 horas semanais de segunda-feira à sexta-feira</t>
  </si>
  <si>
    <t>posto</t>
  </si>
  <si>
    <t>TOTAL DE POSTOS</t>
  </si>
  <si>
    <r>
      <rPr>
        <b/>
        <sz val="15"/>
        <color theme="1"/>
        <rFont val="Arial"/>
      </rPr>
      <t xml:space="preserve">1. MÓDULOS 
</t>
    </r>
    <r>
      <rPr>
        <b/>
        <sz val="12"/>
        <color rgb="FF000000"/>
        <rFont val="Arial"/>
      </rPr>
      <t xml:space="preserve">Mão de obra
</t>
    </r>
    <r>
      <rPr>
        <b/>
        <sz val="11"/>
        <color rgb="FF000000"/>
        <rFont val="Arial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</si>
  <si>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</si>
  <si>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</si>
  <si>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Vigia</t>
  </si>
  <si>
    <t>Classificação Brasileira de Ocupações (CBO)</t>
  </si>
  <si>
    <t>5174-20</t>
  </si>
  <si>
    <t>Salário Normativo da Categoria Profissional</t>
  </si>
  <si>
    <t xml:space="preserve">Categoria Profissional (vinculada à execução contratual) </t>
  </si>
  <si>
    <t xml:space="preserve">Data-Base da Categoria (dia/mês/ano) </t>
  </si>
  <si>
    <r>
      <rPr>
        <b/>
        <sz val="10"/>
        <color rgb="FFFF0000"/>
        <rFont val="Arial"/>
      </rPr>
      <t xml:space="preserve">Valor do salárioxhora
</t>
    </r>
    <r>
      <rPr>
        <b/>
        <sz val="10"/>
        <color rgb="FF0000FF"/>
        <rFont val="Arial"/>
      </rPr>
      <t>VSH = (Valor do salário normativo / 220 h)</t>
    </r>
  </si>
  <si>
    <t>OK</t>
  </si>
  <si>
    <r>
      <rPr>
        <b/>
        <sz val="10"/>
        <color rgb="FFFF0000"/>
        <rFont val="Arial"/>
      </rPr>
      <t xml:space="preserve">Valor da hora extra com 50% 
</t>
    </r>
    <r>
      <rPr>
        <b/>
        <sz val="10"/>
        <color rgb="FF0000FF"/>
        <rFont val="Arial"/>
      </rPr>
      <t>HE (s/peri) = valor da hora + 50%</t>
    </r>
  </si>
  <si>
    <r>
      <rPr>
        <b/>
        <sz val="10"/>
        <color rgb="FFFF0000"/>
        <rFont val="Arial"/>
      </rPr>
      <t xml:space="preserve">Valor da hora do adicional noturno (considerando hora noturna reduzida)
</t>
    </r>
    <r>
      <rPr>
        <b/>
        <sz val="10"/>
        <color rgb="FF0000FF"/>
        <rFont val="Arial"/>
      </rPr>
      <t>AN =</t>
    </r>
    <r>
      <rPr>
        <b/>
        <sz val="10"/>
        <color rgb="FFFF0000"/>
        <rFont val="Arial"/>
      </rPr>
      <t xml:space="preserve"> </t>
    </r>
    <r>
      <rPr>
        <b/>
        <sz val="10"/>
        <color rgb="FF0000FF"/>
        <rFont val="Arial"/>
      </rPr>
      <t>valor da hora (1h=52min30seg) x 20%</t>
    </r>
  </si>
  <si>
    <t>Valor da hora noturna reduzida (como hora extra acrescida de 50%)</t>
  </si>
  <si>
    <t>Quantidade de vigias por posto de serviço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</si>
  <si>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</si>
  <si>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</si>
  <si>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</si>
  <si>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</si>
  <si>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rPr>
        <b/>
        <sz val="10"/>
        <color theme="1"/>
        <rFont val="Arial"/>
      </rPr>
      <t xml:space="preserve">Salário-Base            </t>
    </r>
    <r>
      <rPr>
        <b/>
        <sz val="10"/>
        <color rgb="FFFF0000"/>
        <rFont val="Arial"/>
      </rPr>
      <t xml:space="preserve"> (valor para 1 vigias = 1 posto) </t>
    </r>
  </si>
  <si>
    <t>Adicional Noturno  Cálculo do valor: AN x 0,5h x22d x 1 vig. Das 22h às 22h30</t>
  </si>
  <si>
    <t>Adicional de Hora Noturna Reduzida (Hora Reduzida Noturna como Extra). Cálculo do valor: 22dias x (0,5h x (valor HNR(I28)) x 1 vigia - das 22h às 22:30</t>
  </si>
  <si>
    <t>RSR (Repouso Semanal Remunerado) - Reflexos em Horas Extras e Horas Noturnas - Cálculo do valor: 20% (25 dias úteis/5 dias de repouso) sobre os adicionais pertinentes. Cálculo: ((valor hora x Ad Hora noturna x 20%) + (valor hora x Ad HE x 20%)) x 22 dias</t>
  </si>
  <si>
    <t>E</t>
  </si>
  <si>
    <t xml:space="preserve">Outros (especificar)                      </t>
  </si>
  <si>
    <t xml:space="preserve">Remuneração 1 = Total da Remuneração de verbas de natureza salarial nas quais incidem INSS + FGTS + Férias + 13º, etc.  </t>
  </si>
  <si>
    <t>Intervalo Intrajornada (Adicional de Intervalo)  Cálculo do valor: HE x 15d x2vigx0,5h) - cláusula 49 da CCT 2021/2021</t>
  </si>
  <si>
    <r>
      <rPr>
        <b/>
        <sz val="11"/>
        <color theme="1"/>
        <rFont val="Arial"/>
      </rPr>
      <t xml:space="preserve">Total da Remuneração de verbas de natureza indenizatória nas quais não incidem INSS, FGTS, Férias, 13º, etc. </t>
    </r>
  </si>
  <si>
    <r>
      <rPr>
        <b/>
        <sz val="11"/>
        <color theme="1"/>
        <rFont val="Arial"/>
      </rPr>
      <t xml:space="preserve">Remuneração 2 = Total da Remuneração que o empregado irá receber- </t>
    </r>
    <r>
      <rPr>
        <b/>
        <sz val="11"/>
        <color rgb="FF0000FF"/>
        <rFont val="Arial"/>
      </rPr>
      <t>Valor entra nos seguintes cálculos: Item 2, "A" - Quadro-Resumo do Custo por Posto de Trabalho, Custos Indiretos, Lucro e Tributos.</t>
    </r>
  </si>
  <si>
    <t>Nota1:  O Módulo 1 refere-se ao valor mensal devido ao empregado pela prestação do serviço no período de 12 meses.</t>
  </si>
  <si>
    <t>12 ou 20 meses?</t>
  </si>
  <si>
    <t>Módulo 2 : Encargos e Benefícios Anuais, Mensais e Diários</t>
  </si>
  <si>
    <r>
      <rPr>
        <b/>
        <sz val="11"/>
        <color rgb="FF000000"/>
        <rFont val="Arial"/>
      </rPr>
      <t>Submódulo 2.1 – 13º (décimo terceiro) Salário</t>
    </r>
    <r>
      <rPr>
        <b/>
        <sz val="11"/>
        <color rgb="FF0099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</si>
  <si>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t>2.1</t>
  </si>
  <si>
    <r>
      <rPr>
        <b/>
        <sz val="11"/>
        <color rgb="FF000000"/>
        <rFont val="Arial"/>
      </rPr>
      <t>13º (décimo terceiro) Salário</t>
    </r>
    <r>
      <rPr>
        <b/>
        <sz val="11"/>
        <color rgb="FFFF33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</si>
  <si>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t>Valor (R$)</t>
  </si>
  <si>
    <r>
      <rPr>
        <b/>
        <sz val="10"/>
        <color rgb="FF000000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Remuneração1, conforme Anexo XII da IN 5/17</t>
    </r>
  </si>
  <si>
    <r>
      <rPr>
        <b/>
        <sz val="10"/>
        <color rgb="FF000000"/>
        <rFont val="Arial"/>
      </rPr>
      <t>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– Composição da Remuneração1, conforme Anexo XII da IN 5/17 (Férias + Adicional = 9,075% + 3,025% = 12,10%)</t>
    </r>
  </si>
  <si>
    <t>Total</t>
  </si>
  <si>
    <t>Incidência dos encargos do Submódulo 2.2 sobre o total do Submódulo 2.1</t>
  </si>
  <si>
    <r>
      <rPr>
        <b/>
        <sz val="11"/>
        <color rgb="FF000000"/>
        <rFont val="Arial"/>
      </rPr>
      <t xml:space="preserve">Submódulo 2.2 - Encargos Previdenciários (GPS), Fundo de Garantia por Tempo de Serviço (FGTS) e outras contribuições  </t>
    </r>
    <r>
      <rPr>
        <b/>
        <sz val="11"/>
        <color rgb="FF0000FF"/>
        <rFont val="Arial"/>
      </rPr>
      <t>(Base de Cálculo = Módulo 1 (Rem1) + Submódulo 2.1)</t>
    </r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</si>
  <si>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</si>
  <si>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</si>
  <si>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</si>
  <si>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</si>
  <si>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</si>
  <si>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rPr>
        <b/>
        <sz val="11"/>
        <color rgb="FF000000"/>
        <rFont val="Arial"/>
      </rPr>
      <t xml:space="preserve">RAT x FAP 
</t>
    </r>
    <r>
      <rPr>
        <b/>
        <sz val="8"/>
        <color rgb="FFFF0000"/>
        <rFont val="Arial"/>
      </rPr>
      <t>Cálculo do valor: % do RAT x FAP (Fator Acidentário de Prevenção de cada empresa)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</si>
  <si>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</si>
  <si>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</si>
  <si>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</si>
  <si>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</si>
  <si>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>F</t>
  </si>
  <si>
    <t xml:space="preserve">SEBRAE                                                                                                              </t>
  </si>
  <si>
    <t>G</t>
  </si>
  <si>
    <t xml:space="preserve">INCRA                                                                                                                  </t>
  </si>
  <si>
    <t>H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</si>
  <si>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</si>
  <si>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</si>
  <si>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</si>
  <si>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</si>
  <si>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</si>
  <si>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color theme="1"/>
        <rFont val="Arial"/>
      </rPr>
      <t xml:space="preserve">Transporte                                                          </t>
    </r>
    <r>
      <rPr>
        <b/>
        <sz val="10"/>
        <color rgb="FFFF0000"/>
        <rFont val="Arial"/>
      </rPr>
      <t>Cálculo do valor: [(2xVTx30) – (6%xSB)]</t>
    </r>
  </si>
  <si>
    <t xml:space="preserve">     A.1)  Valor da passagem do transporte coletivo no município de
                prestação dos serviços</t>
  </si>
  <si>
    <t>-</t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</si>
  <si>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A.2) Quantidade de passagens por dia por empregado</t>
    </r>
  </si>
  <si>
    <t xml:space="preserve">     A.3) Quantidade de dias do mês de recebimento de passagens</t>
  </si>
  <si>
    <t xml:space="preserve">     A.4) Participação do empregado em percentual do salário-base (cláus. 36)</t>
  </si>
  <si>
    <r>
      <rPr>
        <b/>
        <sz val="10"/>
        <color theme="1"/>
        <rFont val="Arial"/>
      </rPr>
      <t xml:space="preserve">Auxílio-Refeição/Alimentação  </t>
    </r>
    <r>
      <rPr>
        <b/>
        <sz val="10"/>
        <color rgb="FFFF0000"/>
        <rFont val="Arial"/>
      </rPr>
      <t>Cálculo do valor = [(30xVA)x(1-0,20)]</t>
    </r>
  </si>
  <si>
    <t xml:space="preserve">     B.1) Valor do Auxílio-Alimentação  (cláusula 14 da CCT 2019/2020)</t>
  </si>
  <si>
    <t>Valor do VA previsto na CCT da categoria</t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</si>
  <si>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B.2) Quantidade de dias do mês de recebimento de auxílio-alimentação</t>
    </r>
  </si>
  <si>
    <t xml:space="preserve">     B.3) Participação do empregado em percentual sobre o auxílio-alimentação</t>
  </si>
  <si>
    <t>Contribuição do empregado no VA, conforme CCT</t>
  </si>
  <si>
    <t>Plano de Benefício Social Familiar (Cláusula 29 CCT 2021/2021)</t>
  </si>
  <si>
    <t>Previsão em CCT - inserido)</t>
  </si>
  <si>
    <t xml:space="preserve">Seguro de Vida </t>
  </si>
  <si>
    <t xml:space="preserve">Auxílio-Funeral </t>
  </si>
  <si>
    <r>
      <rPr>
        <b/>
        <sz val="10"/>
        <color rgb="FF009933"/>
        <rFont val="Arial"/>
      </rPr>
      <t xml:space="preserve">Outros (especificar) </t>
    </r>
    <r>
      <rPr>
        <b/>
        <sz val="10"/>
        <color rgb="FFFF0000"/>
        <rFont val="Arial"/>
      </rPr>
      <t>VERIFICAR AUXÍLIO CRECHE</t>
    </r>
  </si>
  <si>
    <t>Quadro-Resumo do Módulo 2 – Encargos e Benefícios Anuais, Mensais e Diários</t>
  </si>
  <si>
    <t>Encargos e Benefícios Anuais, Mensais e Diários</t>
  </si>
  <si>
    <r>
      <rPr>
        <b/>
        <sz val="10"/>
        <color rgb="FF000000"/>
        <rFont val="Arial"/>
      </rPr>
      <t>13º (décimo terceiro) Salário</t>
    </r>
    <r>
      <rPr>
        <b/>
        <sz val="10"/>
        <color rgb="FF009933"/>
        <rFont val="Arial"/>
      </rPr>
      <t xml:space="preserve"> </t>
    </r>
    <r>
      <rPr>
        <b/>
        <sz val="10"/>
        <color rgb="FF000000"/>
        <rFont val="Arial"/>
      </rPr>
      <t>e Adicional de Férias</t>
    </r>
  </si>
  <si>
    <t>Módulo 3 - Provisão para Rescisão</t>
  </si>
  <si>
    <t>Provisão para Rescisão</t>
  </si>
  <si>
    <t>Nesse módulo utilizei as mesmas fórmulas do Câmpus Sapucaia, algumas estão diferentes da planilha de vigilância.</t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</si>
  <si>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</si>
  <si>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</si>
  <si>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t>Multa do FGTS e contribuições sociais sobre o Aviso Prévio Indenizado</t>
  </si>
  <si>
    <r>
      <rPr>
        <b/>
        <sz val="10"/>
        <color theme="1"/>
        <rFont val="Arial"/>
      </rPr>
      <t xml:space="preserve">Aviso Prévio Trabalhado       </t>
    </r>
    <r>
      <rPr>
        <b/>
        <sz val="10"/>
        <color rgb="FFFF0000"/>
        <rFont val="Arial"/>
      </rPr>
      <t>(</t>
    </r>
    <r>
      <rPr>
        <b/>
        <sz val="9"/>
        <color rgb="FFFF0000"/>
        <rFont val="Arial"/>
      </rPr>
      <t xml:space="preserve">negociar extinção/redução na 1ª prorrogação)  Cálculo do valor= [(Rem1/30)x7]/20 meses do contratox100% dos empregados - ao final do contrato  </t>
    </r>
  </si>
  <si>
    <t>Incidência de GPS, FGTS e outras contribuições sobre o Aviso Prévio Trabalhado</t>
  </si>
  <si>
    <r>
      <rPr>
        <b/>
        <sz val="10"/>
        <color rgb="FF009933"/>
        <rFont val="Arial"/>
      </rPr>
      <t>Multa do FGTS sobre o Aviso PrévioTrabalhado e Aviso Prévio Indenizado</t>
    </r>
    <r>
      <rPr>
        <b/>
        <sz val="8"/>
        <color rgb="FF009933"/>
        <rFont val="Arial"/>
      </rPr>
      <t xml:space="preserve">Obrigatória a cotação de 4% (Lei nº 13.932/2019) sobre o valor do Módulo 1 – Composição da Remuneração1, conforme Anexo XII da IN Seges nº 5/2017 </t>
    </r>
  </si>
  <si>
    <t>TOTAL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</si>
  <si>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</si>
  <si>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</si>
  <si>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color rgb="FFFF3300"/>
        <rFont val="Arial"/>
      </rPr>
      <t>Base de cálculo para o Custo de Reposição do Profissional Ausente (substituto): BCCPA = Rem1 + 13º + Férias + 1/3Férias -</t>
    </r>
    <r>
      <rPr>
        <b/>
        <sz val="11"/>
        <color rgb="FF000080"/>
        <rFont val="Arial"/>
      </rPr>
      <t xml:space="preserve"> (exceto a linha “A” que tem % fixo pela conta vinculada e o Afastamento Maternidade1)</t>
    </r>
    <r>
      <rPr>
        <b/>
        <sz val="11"/>
        <color rgb="FFFF0000"/>
        <rFont val="Arial"/>
      </rPr>
      <t xml:space="preserve"> - </t>
    </r>
    <r>
      <rPr>
        <sz val="10"/>
        <color rgb="FF000000"/>
        <rFont val="Arial"/>
      </rPr>
      <t xml:space="preserve">Conforme item 89 do Relatório do Acórdão TCU nº 1.753/2008 do Plenário
</t>
    </r>
    <r>
      <rPr>
        <b/>
        <sz val="10"/>
        <color rgb="FF000000"/>
        <rFont val="Arial"/>
      </rPr>
      <t>OBS A SER EXCLUÍDA:O valor das Férias acima, quando tiver conta vinculada, deve ser o mesmo  do item 4.1.”A” abaixo</t>
    </r>
    <r>
      <rPr>
        <sz val="10"/>
        <color rgb="FF000000"/>
        <rFont val="Arial"/>
      </rPr>
      <t>. Quando não tem conta vinculada não se pode adotar esse procedimento pois se necessita do valor do BCCPA para se calcular as Férias, o que não é o caso da conta vinculada.</t>
    </r>
  </si>
  <si>
    <t>Submódulo 4.1 – Substituto nas Ausências Legais</t>
  </si>
  <si>
    <t>4.1</t>
  </si>
  <si>
    <t>Substituto nas Ausências Legais</t>
  </si>
  <si>
    <r>
      <rPr>
        <b/>
        <sz val="10"/>
        <color rgb="FF000000"/>
        <rFont val="Arial"/>
      </rPr>
      <t>Substituto na cobertura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9,0755% sobre o valor do Módulo 1 – Composição da Remuneração, conforme Anexo XII da IN 5/17 (Férias + Adicional = 9,075% + 3,025% = 12,10%)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</si>
  <si>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</si>
  <si>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</si>
  <si>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</si>
  <si>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</si>
  <si>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theme="1"/>
        <rFont val="Arial"/>
      </rPr>
      <t>Substituto na cobertura de Ausência por doença</t>
    </r>
    <r>
      <rPr>
        <b/>
        <sz val="10"/>
        <color rgb="FF0000FF"/>
        <rFont val="Arial"/>
      </rPr>
      <t xml:space="preserve">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 
Incluído por permissão da IN Seges nº 5/2017, Anexo VII-B, item 1.7, alíneas "b" e "c".5.</t>
    </r>
  </si>
  <si>
    <t>Incidência dos encargos do Submódulo 2.2 sobre o total do Submódulo 4.1</t>
  </si>
  <si>
    <t>Submódulo 4.2 – Substituto na Intrajornada</t>
  </si>
  <si>
    <t xml:space="preserve">4.2 </t>
  </si>
  <si>
    <t>Substituto na Intrajornada</t>
  </si>
  <si>
    <r>
      <rPr>
        <b/>
        <sz val="10"/>
        <color rgb="FF000000"/>
        <rFont val="Arial"/>
      </rPr>
      <t>Substituto na cobertura de Intervalo para repouso ou alimentação</t>
    </r>
    <r>
      <rPr>
        <b/>
        <sz val="10"/>
        <color rgb="FF009900"/>
        <rFont val="Arial"/>
      </rPr>
      <t xml:space="preserve"> </t>
    </r>
    <r>
      <rPr>
        <b/>
        <sz val="10"/>
        <color rgb="FF0000FF"/>
        <rFont val="Arial"/>
      </rPr>
      <t>(Rendição para janta após 22 horas)-</t>
    </r>
    <r>
      <rPr>
        <b/>
        <sz val="10"/>
        <color rgb="FF0000FF"/>
        <rFont val="Arial"/>
      </rPr>
      <t xml:space="preserve">Remuneração do Jantista </t>
    </r>
    <r>
      <rPr>
        <b/>
        <sz val="12"/>
        <color rgb="FF0000FF"/>
        <rFont val="Arial"/>
      </rPr>
      <t xml:space="preserve">- </t>
    </r>
    <r>
      <rPr>
        <b/>
        <sz val="9"/>
        <color rgb="FFFF3300"/>
        <rFont val="Arial"/>
      </rPr>
      <t xml:space="preserve">Cálculo do valor: </t>
    </r>
    <r>
      <rPr>
        <b/>
        <sz val="9"/>
        <color rgb="FF0000FF"/>
        <rFont val="Arial"/>
      </rPr>
      <t>Salário-Base + AN + HNR:</t>
    </r>
    <r>
      <rPr>
        <b/>
        <sz val="9"/>
        <color rgb="FFFF3300"/>
        <rFont val="Arial"/>
      </rPr>
      <t xml:space="preserve"> {[VSH (c/peri) x (</t>
    </r>
    <r>
      <rPr>
        <b/>
        <sz val="9"/>
        <color rgb="FF0000FF"/>
        <rFont val="Arial"/>
      </rPr>
      <t>0,5</t>
    </r>
    <r>
      <rPr>
        <b/>
        <sz val="9"/>
        <color rgb="FFFF3300"/>
        <rFont val="Arial"/>
      </rPr>
      <t xml:space="preserve">h/dia x 1,1428571) x 30 dias x 1,2 (hora + 20% AN)] x 1,2  RSR } </t>
    </r>
  </si>
  <si>
    <r>
      <rPr>
        <b/>
        <sz val="10"/>
        <color theme="1"/>
        <rFont val="Arial"/>
      </rPr>
      <t xml:space="preserve">Adicional de Troca de Uniforme -  </t>
    </r>
    <r>
      <rPr>
        <b/>
        <sz val="10"/>
        <color rgb="FFFF0000"/>
        <rFont val="Arial"/>
      </rPr>
      <t xml:space="preserve">Cálculo do valor: 1/6 do salário-hora por dia com peri = (VSH/6=1,10)x1,3x2x15xDSR = R$ 1,43x2x15x1,2 </t>
    </r>
    <r>
      <rPr>
        <b/>
        <sz val="10"/>
        <color theme="1"/>
        <rFont val="Arial"/>
      </rPr>
      <t xml:space="preserve"> cláusula 33 da CCT 2018/2020 </t>
    </r>
  </si>
  <si>
    <t>Total da Remuneração</t>
  </si>
  <si>
    <r>
      <rPr>
        <b/>
        <sz val="10"/>
        <color rgb="FF000000"/>
        <rFont val="Arial"/>
      </rPr>
      <t xml:space="preserve">13 (décimo terceiro) Salário, Férias e Adicional de Férias </t>
    </r>
    <r>
      <rPr>
        <b/>
        <sz val="10"/>
        <color rgb="FF0000FF"/>
        <rFont val="Arial"/>
      </rPr>
      <t>do Jantista</t>
    </r>
    <r>
      <rPr>
        <b/>
        <sz val="10"/>
        <color rgb="FF000000"/>
        <rFont val="Arial"/>
      </rPr>
      <t xml:space="preserve"> –</t>
    </r>
    <r>
      <rPr>
        <b/>
        <sz val="10"/>
        <color rgb="FFFF0000"/>
        <rFont val="Arial"/>
      </rPr>
      <t xml:space="preserve"> Cálculo do valor: (Rem+Ad Unif)/12 +  ((Rem+Ad Unif)/3)/12</t>
    </r>
  </si>
  <si>
    <t xml:space="preserve">Total 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</si>
  <si>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</si>
  <si>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</si>
  <si>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</si>
  <si>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</si>
  <si>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</si>
  <si>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</si>
  <si>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</si>
  <si>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/ Equipamentos </t>
  </si>
  <si>
    <t>Outros (especificar)</t>
  </si>
  <si>
    <t>0.00</t>
  </si>
  <si>
    <t>Nota: Valores mensais por posto de trabalho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</si>
  <si>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</si>
  <si>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</si>
  <si>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</si>
  <si>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</si>
  <si>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</si>
  <si>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</si>
  <si>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</si>
  <si>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</si>
  <si>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</si>
  <si>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0"/>
        <color rgb="FF000000"/>
        <rFont val="Arial"/>
      </rPr>
      <t xml:space="preserve">  </t>
    </r>
    <r>
      <rPr>
        <b/>
        <sz val="10"/>
        <color rgb="FF000000"/>
        <rFont val="Arial"/>
      </rPr>
      <t xml:space="preserve">a) Cofins </t>
    </r>
  </si>
  <si>
    <r>
      <rPr>
        <sz val="10"/>
        <color rgb="FF000000"/>
        <rFont val="Arial"/>
      </rPr>
      <t xml:space="preserve">  </t>
    </r>
    <r>
      <rPr>
        <b/>
        <sz val="10"/>
        <color rgb="FF000000"/>
        <rFont val="Arial"/>
      </rPr>
      <t>b) PIS</t>
    </r>
  </si>
  <si>
    <r>
      <rPr>
        <b/>
        <sz val="10"/>
        <color theme="1"/>
        <rFont val="Arial"/>
      </rPr>
      <t xml:space="preserve"> c) IRPJ</t>
    </r>
    <r>
      <rPr>
        <b/>
        <sz val="10"/>
        <color rgb="FF0000FF"/>
        <rFont val="Arial"/>
      </rPr>
      <t xml:space="preserve"> </t>
    </r>
  </si>
  <si>
    <t xml:space="preserve"> d) CSLL </t>
  </si>
  <si>
    <t>C.2   Tributos estaduais (especificar)</t>
  </si>
  <si>
    <t>C.3   Tributos municipais (especificar):</t>
  </si>
  <si>
    <t xml:space="preserve">  a) ISS                   (LEI MUNICIPAL Nº 2714 DE 31/12/1973 - LAJEADO)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</si>
  <si>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</si>
  <si>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</si>
  <si>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</si>
  <si>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</si>
  <si>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</si>
  <si>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</si>
  <si>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t>2. QUADRO-RESUMO DO CUSTO POR POSTO DE TRABALHO</t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</si>
  <si>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</si>
  <si>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</si>
  <si>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</si>
  <si>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</si>
  <si>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</si>
  <si>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</si>
  <si>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</si>
  <si>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</si>
  <si>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</si>
  <si>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</si>
  <si>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</si>
  <si>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</si>
  <si>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</si>
  <si>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 xml:space="preserve">12 horas noturnas, de segunda-feira a domingo, envolvendo 2 (dois) vigilantes em turnos de  12 (doze) por 36 (trinta e seis) horas </t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</si>
  <si>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</si>
  <si>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</si>
  <si>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</si>
  <si>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</si>
  <si>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</si>
  <si>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b/>
        <sz val="10"/>
        <color theme="1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6.5.4.e do edital</t>
    </r>
    <r>
      <rPr>
        <b/>
        <sz val="10"/>
        <color rgb="FF000000"/>
        <rFont val="Arial"/>
      </rPr>
      <t>)</t>
    </r>
  </si>
  <si>
    <t>Tipo de Mão de Obra</t>
  </si>
  <si>
    <t>Quantidade de Pessoal</t>
  </si>
  <si>
    <t>Vigias</t>
  </si>
  <si>
    <r>
      <rPr>
        <b/>
        <sz val="10"/>
        <color theme="1"/>
        <rFont val="Arial"/>
      </rPr>
      <t xml:space="preserve">MATERIAIS, MÁQUINAS E EQUIPAMENTOS ALOCADOS NA EXECUÇÃO CONTRATUAL (item 6.2.f do Anexo VII da IN nº 5/2017  e </t>
    </r>
    <r>
      <rPr>
        <b/>
        <sz val="10"/>
        <color rgb="FFFF0000"/>
        <rFont val="Arial"/>
      </rPr>
      <t>item 6.5.4.f do edital</t>
    </r>
    <r>
      <rPr>
        <b/>
        <sz val="10"/>
        <color rgb="FF000000"/>
        <rFont val="Arial"/>
      </rPr>
      <t>)</t>
    </r>
  </si>
  <si>
    <t>Especificação dos Materiais/Máquinas/Equipamentos</t>
  </si>
  <si>
    <t xml:space="preserve">Quantidade </t>
  </si>
  <si>
    <t>As especificações e os quantitativos encontran-se na planilha "INSUMOS"</t>
  </si>
  <si>
    <r>
      <rPr>
        <b/>
        <sz val="15"/>
        <color rgb="FF800080"/>
        <rFont val="Arial"/>
      </rPr>
      <t xml:space="preserve">VIGIA 44 Horas Semanais - </t>
    </r>
    <r>
      <rPr>
        <b/>
        <sz val="16"/>
        <color rgb="FFFF0000"/>
        <rFont val="Arial"/>
      </rPr>
      <t>CONTA VINCULADA</t>
    </r>
  </si>
  <si>
    <t>Gravataí</t>
  </si>
  <si>
    <r>
      <rPr>
        <b/>
        <sz val="15"/>
        <color theme="1"/>
        <rFont val="Arial"/>
      </rPr>
      <t xml:space="preserve">1. MÓDULOS 
</t>
    </r>
    <r>
      <rPr>
        <b/>
        <sz val="12"/>
        <color rgb="FF000000"/>
        <rFont val="Arial"/>
      </rPr>
      <t xml:space="preserve">Mão de obra
</t>
    </r>
    <r>
      <rPr>
        <b/>
        <sz val="11"/>
        <color rgb="FF000000"/>
        <rFont val="Arial"/>
      </rPr>
      <t>Mão de obra vinculada à execução contratual</t>
    </r>
  </si>
  <si>
    <r>
      <rPr>
        <b/>
        <sz val="10"/>
        <color rgb="FFFF0000"/>
        <rFont val="Arial"/>
      </rPr>
      <t xml:space="preserve">Valor do salárioxhora
</t>
    </r>
    <r>
      <rPr>
        <b/>
        <sz val="10"/>
        <color rgb="FF0000FF"/>
        <rFont val="Arial"/>
      </rPr>
      <t>VSH = (Valor do salário normativo / 220 h)</t>
    </r>
  </si>
  <si>
    <r>
      <rPr>
        <b/>
        <sz val="10"/>
        <color rgb="FFFF0000"/>
        <rFont val="Arial"/>
      </rPr>
      <t xml:space="preserve">Valor da hora extra com 50% 
</t>
    </r>
    <r>
      <rPr>
        <b/>
        <sz val="10"/>
        <color rgb="FF0000FF"/>
        <rFont val="Arial"/>
      </rPr>
      <t>HE (s/peri) = valor da hora + 50%</t>
    </r>
  </si>
  <si>
    <r>
      <rPr>
        <b/>
        <sz val="10"/>
        <color rgb="FFFF0000"/>
        <rFont val="Arial"/>
      </rPr>
      <t xml:space="preserve">Valor da hora do adicional noturno (considerando hora noturna reduzida)
</t>
    </r>
    <r>
      <rPr>
        <b/>
        <sz val="10"/>
        <color rgb="FF0000FF"/>
        <rFont val="Arial"/>
      </rPr>
      <t>AN =</t>
    </r>
    <r>
      <rPr>
        <b/>
        <sz val="10"/>
        <color rgb="FFFF0000"/>
        <rFont val="Arial"/>
      </rPr>
      <t xml:space="preserve"> </t>
    </r>
    <r>
      <rPr>
        <b/>
        <sz val="10"/>
        <color rgb="FF0000FF"/>
        <rFont val="Arial"/>
      </rPr>
      <t>valor da hora (1h=52min30seg) x 20%</t>
    </r>
  </si>
  <si>
    <r>
      <rPr>
        <b/>
        <sz val="10"/>
        <color theme="1"/>
        <rFont val="Arial"/>
      </rPr>
      <t xml:space="preserve">Salário-Base            </t>
    </r>
    <r>
      <rPr>
        <b/>
        <sz val="10"/>
        <color rgb="FFFF0000"/>
        <rFont val="Arial"/>
      </rPr>
      <t xml:space="preserve"> (valor para 1 vigias = 1 posto) </t>
    </r>
  </si>
  <si>
    <r>
      <rPr>
        <b/>
        <sz val="11"/>
        <color theme="1"/>
        <rFont val="Arial"/>
      </rPr>
      <t xml:space="preserve">Total da Remuneração de verbas de natureza indenizatória nas quais não incidem INSS, FGTS, Férias, 13º, etc. </t>
    </r>
  </si>
  <si>
    <r>
      <rPr>
        <b/>
        <sz val="11"/>
        <color theme="1"/>
        <rFont val="Arial"/>
      </rPr>
      <t xml:space="preserve">Remuneração 2 = Total da Remuneração que o empregado irá receber- </t>
    </r>
    <r>
      <rPr>
        <b/>
        <sz val="11"/>
        <color rgb="FF0000FF"/>
        <rFont val="Arial"/>
      </rPr>
      <t>Valor entra nos seguintes cálculos: Item 2, "A" - Quadro-Resumo do Custo por Posto de Trabalho, Custos Indiretos, Lucro e Tributos.</t>
    </r>
  </si>
  <si>
    <r>
      <rPr>
        <b/>
        <sz val="11"/>
        <color rgb="FF000000"/>
        <rFont val="Arial"/>
      </rPr>
      <t>Submódulo 2.1 – 13º (décimo terceiro) Salário</t>
    </r>
    <r>
      <rPr>
        <b/>
        <sz val="11"/>
        <color rgb="FF0099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</si>
  <si>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r>
      <rPr>
        <b/>
        <sz val="11"/>
        <color rgb="FF000000"/>
        <rFont val="Arial"/>
      </rPr>
      <t>13º (décimo terceiro) Salário</t>
    </r>
    <r>
      <rPr>
        <b/>
        <sz val="11"/>
        <color rgb="FFFF33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</si>
  <si>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r>
      <rPr>
        <b/>
        <sz val="10"/>
        <color rgb="FF000000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Remuneração1, conforme Anexo XII da IN 5/17</t>
    </r>
  </si>
  <si>
    <r>
      <rPr>
        <b/>
        <sz val="10"/>
        <color rgb="FF000000"/>
        <rFont val="Arial"/>
      </rPr>
      <t>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– Composição da Remuneração1, conforme Anexo XII da IN 5/17 (Férias + Adicional = 9,075% + 3,025% = 12,10%)</t>
    </r>
  </si>
  <si>
    <r>
      <rPr>
        <b/>
        <sz val="11"/>
        <color rgb="FF000000"/>
        <rFont val="Arial"/>
      </rPr>
      <t xml:space="preserve">Submódulo 2.2 - Encargos Previdenciários (GPS), Fundo de Garantia por Tempo de Serviço (FGTS) e outras contribuições  </t>
    </r>
    <r>
      <rPr>
        <b/>
        <sz val="11"/>
        <color rgb="FF0000FF"/>
        <rFont val="Arial"/>
      </rPr>
      <t>(Base de Cálculo = Módulo 1 (Rem1) + Submódulo 2.1)</t>
    </r>
  </si>
  <si>
    <r>
      <rPr>
        <b/>
        <sz val="11"/>
        <color rgb="FF000000"/>
        <rFont val="Arial"/>
      </rPr>
      <t xml:space="preserve">RAT x FAP 
</t>
    </r>
    <r>
      <rPr>
        <b/>
        <sz val="8"/>
        <color rgb="FFFF0000"/>
        <rFont val="Arial"/>
      </rPr>
      <t>Cálculo do valor: % do RAT x FAP (Fator Acidentário de Prevenção de cada empresa)</t>
    </r>
  </si>
  <si>
    <r>
      <rPr>
        <b/>
        <sz val="10"/>
        <color theme="1"/>
        <rFont val="Arial"/>
      </rPr>
      <t xml:space="preserve">Transporte                                                          </t>
    </r>
    <r>
      <rPr>
        <b/>
        <sz val="10"/>
        <color rgb="FFFF0000"/>
        <rFont val="Arial"/>
      </rPr>
      <t>Cálculo do valor: [(2xVTx30) – (6%xSB)]</t>
    </r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</si>
  <si>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A.2) Quantidade de passagens por dia por empregado</t>
    </r>
  </si>
  <si>
    <r>
      <rPr>
        <b/>
        <sz val="10"/>
        <color theme="1"/>
        <rFont val="Arial"/>
      </rPr>
      <t xml:space="preserve">Auxílio-Refeição/Alimentação  </t>
    </r>
    <r>
      <rPr>
        <b/>
        <sz val="10"/>
        <color rgb="FFFF0000"/>
        <rFont val="Arial"/>
      </rPr>
      <t>Cálculo do valor = [(30xVA)x(1-0,20)]</t>
    </r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</si>
  <si>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B.2) Quantidade de dias do mês de recebimento de auxílio-alimentação</t>
    </r>
  </si>
  <si>
    <r>
      <rPr>
        <b/>
        <sz val="10"/>
        <color rgb="FF009933"/>
        <rFont val="Arial"/>
      </rPr>
      <t xml:space="preserve">Outros (especificar) </t>
    </r>
    <r>
      <rPr>
        <b/>
        <sz val="10"/>
        <color rgb="FFFF0000"/>
        <rFont val="Arial"/>
      </rPr>
      <t>VERIFICAR AUXÍLIO CRECHE</t>
    </r>
  </si>
  <si>
    <r>
      <rPr>
        <b/>
        <sz val="10"/>
        <color rgb="FF000000"/>
        <rFont val="Arial"/>
      </rPr>
      <t>13º (décimo terceiro) Salário</t>
    </r>
    <r>
      <rPr>
        <b/>
        <sz val="10"/>
        <color rgb="FF009933"/>
        <rFont val="Arial"/>
      </rPr>
      <t xml:space="preserve"> </t>
    </r>
    <r>
      <rPr>
        <b/>
        <sz val="10"/>
        <color rgb="FF000000"/>
        <rFont val="Arial"/>
      </rPr>
      <t>e Adicional de Férias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</si>
  <si>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</si>
  <si>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Aviso Prévio Trabalhado       </t>
    </r>
    <r>
      <rPr>
        <b/>
        <sz val="10"/>
        <color rgb="FFFF0000"/>
        <rFont val="Arial"/>
      </rPr>
      <t>(</t>
    </r>
    <r>
      <rPr>
        <b/>
        <sz val="9"/>
        <color rgb="FFFF0000"/>
        <rFont val="Arial"/>
      </rPr>
      <t xml:space="preserve">negociar extinção/redução na 1ª prorrogação)  Cálculo do valor= [(Rem1/30)x7]/20 meses do contratox100% dos empregados - ao final do contrato  </t>
    </r>
  </si>
  <si>
    <r>
      <rPr>
        <b/>
        <sz val="10"/>
        <color rgb="FF009933"/>
        <rFont val="Arial"/>
      </rPr>
      <t>Multa do FGTS sobre o Aviso PrévioTrabalhado e Aviso Prévio Indenizado</t>
    </r>
    <r>
      <rPr>
        <b/>
        <sz val="8"/>
        <color rgb="FF009933"/>
        <rFont val="Arial"/>
      </rPr>
      <t xml:space="preserve">Obrigatória a cotação de 4% (Lei nº 13.932/2019) sobre o valor do Módulo 1 – Composição da Remuneração1, conforme Anexo XII da IN Seges nº 5/2017 </t>
    </r>
  </si>
  <si>
    <r>
      <rPr>
        <b/>
        <sz val="11"/>
        <color rgb="FFFF3300"/>
        <rFont val="Arial"/>
      </rPr>
      <t>Base de cálculo para o Custo de Reposição do Profissional Ausente (substituto): BCCPA = Rem1 + 13º + Férias + 1/3Férias -</t>
    </r>
    <r>
      <rPr>
        <b/>
        <sz val="11"/>
        <color rgb="FF000080"/>
        <rFont val="Arial"/>
      </rPr>
      <t xml:space="preserve"> (exceto a linha “A” que tem % fixo pela conta vinculada e o Afastamento Maternidade1)</t>
    </r>
    <r>
      <rPr>
        <b/>
        <sz val="11"/>
        <color rgb="FFFF0000"/>
        <rFont val="Arial"/>
      </rPr>
      <t xml:space="preserve"> - </t>
    </r>
    <r>
      <rPr>
        <sz val="10"/>
        <color rgb="FF000000"/>
        <rFont val="Arial"/>
      </rPr>
      <t xml:space="preserve">Conforme item 89 do Relatório do Acórdão TCU nº 1.753/2008 do Plenário
</t>
    </r>
    <r>
      <rPr>
        <b/>
        <sz val="10"/>
        <color rgb="FF000000"/>
        <rFont val="Arial"/>
      </rPr>
      <t>OBS A SER EXCLUÍDA:O valor das Férias acima, quando tiver conta vinculada, deve ser o mesmo  do item 4.1.”A” abaixo</t>
    </r>
    <r>
      <rPr>
        <sz val="10"/>
        <color rgb="FF000000"/>
        <rFont val="Arial"/>
      </rPr>
      <t>. Quando não tem conta vinculada não se pode adotar esse procedimento pois se necessita do valor do BCCPA para se calcular as Férias, o que não é o caso da conta vinculada.</t>
    </r>
  </si>
  <si>
    <r>
      <rPr>
        <b/>
        <sz val="10"/>
        <color rgb="FF000000"/>
        <rFont val="Arial"/>
      </rPr>
      <t>Substituto na cobertura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9,0755% sobre o valor do Módulo 1 – Composição da Remuneração, conforme Anexo XII da IN 5/17 (Férias + Adicional = 9,075% + 3,025% = 12,10%)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</si>
  <si>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</si>
  <si>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</si>
  <si>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</si>
  <si>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</si>
  <si>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theme="1"/>
        <rFont val="Arial"/>
      </rPr>
      <t>Substituto na cobertura de Ausência por doença</t>
    </r>
    <r>
      <rPr>
        <b/>
        <sz val="10"/>
        <color rgb="FF0000FF"/>
        <rFont val="Arial"/>
      </rPr>
      <t xml:space="preserve">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 
Incluído por permissão da IN Seges nº 5/2017, Anexo VII-B, item 1.7, alíneas "b" e "c".5.</t>
    </r>
  </si>
  <si>
    <r>
      <rPr>
        <b/>
        <sz val="10"/>
        <color rgb="FF000000"/>
        <rFont val="Arial"/>
      </rPr>
      <t>Substituto na cobertura de Intervalo para repouso ou alimentação</t>
    </r>
    <r>
      <rPr>
        <b/>
        <sz val="10"/>
        <color rgb="FF009900"/>
        <rFont val="Arial"/>
      </rPr>
      <t xml:space="preserve"> </t>
    </r>
    <r>
      <rPr>
        <b/>
        <sz val="10"/>
        <color rgb="FF0000FF"/>
        <rFont val="Arial"/>
      </rPr>
      <t>(Rendição para janta após 22 horas)-</t>
    </r>
    <r>
      <rPr>
        <b/>
        <sz val="10"/>
        <color rgb="FF0000FF"/>
        <rFont val="Arial"/>
      </rPr>
      <t xml:space="preserve">Remuneração do Jantista </t>
    </r>
    <r>
      <rPr>
        <b/>
        <sz val="12"/>
        <color rgb="FF0000FF"/>
        <rFont val="Arial"/>
      </rPr>
      <t xml:space="preserve">- </t>
    </r>
    <r>
      <rPr>
        <b/>
        <sz val="9"/>
        <color rgb="FFFF3300"/>
        <rFont val="Arial"/>
      </rPr>
      <t xml:space="preserve">Cálculo do valor: </t>
    </r>
    <r>
      <rPr>
        <b/>
        <sz val="9"/>
        <color rgb="FF0000FF"/>
        <rFont val="Arial"/>
      </rPr>
      <t>Salário-Base + AN + HNR:</t>
    </r>
    <r>
      <rPr>
        <b/>
        <sz val="9"/>
        <color rgb="FFFF3300"/>
        <rFont val="Arial"/>
      </rPr>
      <t xml:space="preserve"> {[VSH (c/peri) x (</t>
    </r>
    <r>
      <rPr>
        <b/>
        <sz val="9"/>
        <color rgb="FF0000FF"/>
        <rFont val="Arial"/>
      </rPr>
      <t>0,5</t>
    </r>
    <r>
      <rPr>
        <b/>
        <sz val="9"/>
        <color rgb="FFFF3300"/>
        <rFont val="Arial"/>
      </rPr>
      <t xml:space="preserve">h/dia x 1,1428571) x 30 dias x 1,2 (hora + 20% AN)] x 1,2  RSR } </t>
    </r>
  </si>
  <si>
    <r>
      <rPr>
        <b/>
        <sz val="10"/>
        <color theme="1"/>
        <rFont val="Arial"/>
      </rPr>
      <t xml:space="preserve">Adicional de Troca de Uniforme -  </t>
    </r>
    <r>
      <rPr>
        <b/>
        <sz val="10"/>
        <color rgb="FFFF0000"/>
        <rFont val="Arial"/>
      </rPr>
      <t xml:space="preserve">Cálculo do valor: 1/6 do salário-hora por dia com peri = (VSH/6=1,10)x1,3x2x15xDSR = R$ 1,43x2x15x1,2 </t>
    </r>
    <r>
      <rPr>
        <b/>
        <sz val="10"/>
        <color theme="1"/>
        <rFont val="Arial"/>
      </rPr>
      <t xml:space="preserve"> cláusula 33 da CCT 2018/2020 </t>
    </r>
  </si>
  <si>
    <r>
      <rPr>
        <b/>
        <sz val="10"/>
        <color rgb="FF000000"/>
        <rFont val="Arial"/>
      </rPr>
      <t xml:space="preserve">13 (décimo terceiro) Salário, Férias e Adicional de Férias </t>
    </r>
    <r>
      <rPr>
        <b/>
        <sz val="10"/>
        <color rgb="FF0000FF"/>
        <rFont val="Arial"/>
      </rPr>
      <t>do Jantista</t>
    </r>
    <r>
      <rPr>
        <b/>
        <sz val="10"/>
        <color rgb="FF000000"/>
        <rFont val="Arial"/>
      </rPr>
      <t xml:space="preserve"> –</t>
    </r>
    <r>
      <rPr>
        <b/>
        <sz val="10"/>
        <color rgb="FFFF0000"/>
        <rFont val="Arial"/>
      </rPr>
      <t xml:space="preserve"> Cálculo do valor: (Rem+Ad Unif)/12 +  ((Rem+Ad Unif)/3)/12</t>
    </r>
  </si>
  <si>
    <r>
      <rPr>
        <sz val="10"/>
        <color rgb="FF000000"/>
        <rFont val="Arial"/>
      </rPr>
      <t xml:space="preserve">  </t>
    </r>
    <r>
      <rPr>
        <b/>
        <sz val="10"/>
        <color rgb="FF000000"/>
        <rFont val="Arial"/>
      </rPr>
      <t xml:space="preserve">a) Cofins </t>
    </r>
  </si>
  <si>
    <r>
      <rPr>
        <sz val="10"/>
        <color rgb="FF000000"/>
        <rFont val="Arial"/>
      </rPr>
      <t xml:space="preserve">  </t>
    </r>
    <r>
      <rPr>
        <b/>
        <sz val="10"/>
        <color rgb="FF000000"/>
        <rFont val="Arial"/>
      </rPr>
      <t>b) PIS</t>
    </r>
  </si>
  <si>
    <r>
      <rPr>
        <b/>
        <sz val="10"/>
        <color theme="1"/>
        <rFont val="Arial"/>
      </rPr>
      <t xml:space="preserve"> c) IRPJ</t>
    </r>
    <r>
      <rPr>
        <b/>
        <sz val="10"/>
        <color rgb="FF0000FF"/>
        <rFont val="Arial"/>
      </rPr>
      <t xml:space="preserve"> </t>
    </r>
  </si>
  <si>
    <t>a) ISS (LEI Nº 3906, DE 2017 - Prefeitura de Gravataí/RS)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</si>
  <si>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</si>
  <si>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b/>
        <sz val="10"/>
        <color theme="1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6.5.4.e do edital</t>
    </r>
    <r>
      <rPr>
        <b/>
        <sz val="10"/>
        <color rgb="FF000000"/>
        <rFont val="Arial"/>
      </rPr>
      <t>)</t>
    </r>
  </si>
  <si>
    <r>
      <rPr>
        <b/>
        <sz val="10"/>
        <color theme="1"/>
        <rFont val="Arial"/>
      </rPr>
      <t xml:space="preserve">MATERIAIS, MÁQUINAS E EQUIPAMENTOS ALOCADOS NA EXECUÇÃO CONTRATUAL (item 6.2.f do Anexo VII da IN nº 5/2017  e </t>
    </r>
    <r>
      <rPr>
        <b/>
        <sz val="10"/>
        <color rgb="FFFF0000"/>
        <rFont val="Arial"/>
      </rPr>
      <t>item 6.5.4.f do edital</t>
    </r>
    <r>
      <rPr>
        <b/>
        <sz val="10"/>
        <color rgb="FF000000"/>
        <rFont val="Arial"/>
      </rPr>
      <t>)</t>
    </r>
  </si>
  <si>
    <r>
      <rPr>
        <b/>
        <sz val="15"/>
        <color rgb="FF800080"/>
        <rFont val="Arial"/>
      </rPr>
      <t xml:space="preserve">VIGIA 30 Horas Semanais - </t>
    </r>
    <r>
      <rPr>
        <b/>
        <sz val="16"/>
        <color rgb="FFFF0000"/>
        <rFont val="Arial"/>
      </rPr>
      <t>CONTA VINCULADA</t>
    </r>
  </si>
  <si>
    <r>
      <rPr>
        <b/>
        <sz val="15"/>
        <color theme="1"/>
        <rFont val="Arial"/>
      </rPr>
      <t xml:space="preserve">1. MÓDULOS 
</t>
    </r>
    <r>
      <rPr>
        <b/>
        <sz val="12"/>
        <color rgb="FF000000"/>
        <rFont val="Arial"/>
      </rPr>
      <t xml:space="preserve">Mão de obra
</t>
    </r>
    <r>
      <rPr>
        <b/>
        <sz val="11"/>
        <color rgb="FF000000"/>
        <rFont val="Arial"/>
      </rPr>
      <t>Mão de obra vinculada à execução contratual</t>
    </r>
  </si>
  <si>
    <r>
      <rPr>
        <b/>
        <sz val="10"/>
        <color rgb="FFFF0000"/>
        <rFont val="Arial"/>
      </rPr>
      <t xml:space="preserve">Valor do salárioxhora
</t>
    </r>
    <r>
      <rPr>
        <b/>
        <sz val="10"/>
        <color rgb="FF0000FF"/>
        <rFont val="Arial"/>
      </rPr>
      <t>VSH = (Valor do salário normativo / 220 h)</t>
    </r>
  </si>
  <si>
    <r>
      <rPr>
        <b/>
        <sz val="10"/>
        <color rgb="FFFF0000"/>
        <rFont val="Arial"/>
      </rPr>
      <t xml:space="preserve">Valor da hora extra com 50% 
</t>
    </r>
    <r>
      <rPr>
        <b/>
        <sz val="10"/>
        <color rgb="FF0000FF"/>
        <rFont val="Arial"/>
      </rPr>
      <t>HE (s/peri) = valor da hora + 50%</t>
    </r>
  </si>
  <si>
    <r>
      <rPr>
        <b/>
        <sz val="10"/>
        <color rgb="FFFF0000"/>
        <rFont val="Arial"/>
      </rPr>
      <t xml:space="preserve">Valor da hora do adicional noturno (considerando hora noturna reduzida)
</t>
    </r>
    <r>
      <rPr>
        <b/>
        <sz val="10"/>
        <color rgb="FF0000FF"/>
        <rFont val="Arial"/>
      </rPr>
      <t>AN =</t>
    </r>
    <r>
      <rPr>
        <b/>
        <sz val="10"/>
        <color rgb="FFFF0000"/>
        <rFont val="Arial"/>
      </rPr>
      <t xml:space="preserve"> </t>
    </r>
    <r>
      <rPr>
        <b/>
        <sz val="10"/>
        <color rgb="FF0000FF"/>
        <rFont val="Arial"/>
      </rPr>
      <t>valor da hora (1h=52min30seg) x 20%</t>
    </r>
  </si>
  <si>
    <r>
      <rPr>
        <b/>
        <sz val="10"/>
        <color theme="1"/>
        <rFont val="Arial"/>
      </rPr>
      <t xml:space="preserve">Salário-Base            </t>
    </r>
    <r>
      <rPr>
        <b/>
        <sz val="10"/>
        <color rgb="FFFF0000"/>
        <rFont val="Arial"/>
      </rPr>
      <t xml:space="preserve"> (valor para 1 vigias = 1 posto) </t>
    </r>
  </si>
  <si>
    <r>
      <rPr>
        <b/>
        <sz val="11"/>
        <color theme="1"/>
        <rFont val="Arial"/>
      </rPr>
      <t xml:space="preserve">Total da Remuneração de verbas de natureza indenizatória nas quais não incidem INSS, FGTS, Férias, 13º, etc. </t>
    </r>
  </si>
  <si>
    <r>
      <rPr>
        <b/>
        <sz val="11"/>
        <color theme="1"/>
        <rFont val="Arial"/>
      </rPr>
      <t xml:space="preserve">Remuneração 2 = Total da Remuneração que o empregado irá receber- </t>
    </r>
    <r>
      <rPr>
        <b/>
        <sz val="11"/>
        <color rgb="FF0000FF"/>
        <rFont val="Arial"/>
      </rPr>
      <t>Valor entra nos seguintes cálculos: Item 2, "A" - Quadro-Resumo do Custo por Posto de Trabalho, Custos Indiretos, Lucro e Tributos.</t>
    </r>
  </si>
  <si>
    <r>
      <rPr>
        <b/>
        <sz val="11"/>
        <color rgb="FF000000"/>
        <rFont val="Arial"/>
      </rPr>
      <t>Submódulo 2.1 – 13º (décimo terceiro) Salário</t>
    </r>
    <r>
      <rPr>
        <b/>
        <sz val="11"/>
        <color rgb="FF0099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</si>
  <si>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r>
      <rPr>
        <b/>
        <sz val="11"/>
        <color rgb="FF000000"/>
        <rFont val="Arial"/>
      </rPr>
      <t>13º (décimo terceiro) Salário</t>
    </r>
    <r>
      <rPr>
        <b/>
        <sz val="11"/>
        <color rgb="FFFF3300"/>
        <rFont val="Arial"/>
      </rPr>
      <t xml:space="preserve"> </t>
    </r>
    <r>
      <rPr>
        <b/>
        <sz val="11"/>
        <color rgb="FF000000"/>
        <rFont val="Arial"/>
      </rPr>
      <t>e Adicional de Férias</t>
    </r>
  </si>
  <si>
    <r>
      <rPr>
        <b/>
        <sz val="10"/>
        <color rgb="FF000000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Remuneração1, conforme Anexo XII da IN 5/17</t>
    </r>
  </si>
  <si>
    <r>
      <rPr>
        <b/>
        <sz val="10"/>
        <color rgb="FF000000"/>
        <rFont val="Arial"/>
      </rPr>
      <t>Adicional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– Composição da Remuneração1, conforme Anexo XII da IN 5/17 (Férias + Adicional = 9,075% + 3,025% = 12,10%)</t>
    </r>
  </si>
  <si>
    <r>
      <rPr>
        <b/>
        <sz val="11"/>
        <color rgb="FF000000"/>
        <rFont val="Arial"/>
      </rPr>
      <t xml:space="preserve">Submódulo 2.2 - Encargos Previdenciários (GPS), Fundo de Garantia por Tempo de Serviço (FGTS) e outras contribuições  </t>
    </r>
    <r>
      <rPr>
        <b/>
        <sz val="11"/>
        <color rgb="FF0000FF"/>
        <rFont val="Arial"/>
      </rPr>
      <t>(Base de Cálculo = Módulo 1 (Rem1) + Submódulo 2.1)</t>
    </r>
  </si>
  <si>
    <r>
      <rPr>
        <b/>
        <sz val="11"/>
        <color rgb="FF000000"/>
        <rFont val="Arial"/>
      </rPr>
      <t xml:space="preserve">RAT x FAP 
</t>
    </r>
    <r>
      <rPr>
        <b/>
        <sz val="8"/>
        <color rgb="FFFF0000"/>
        <rFont val="Arial"/>
      </rPr>
      <t>Cálculo do valor: % do RAT x FAP (Fator Acidentário de Prevenção de cada empresa)</t>
    </r>
  </si>
  <si>
    <r>
      <rPr>
        <b/>
        <sz val="10"/>
        <color theme="1"/>
        <rFont val="Arial"/>
      </rPr>
      <t xml:space="preserve">Transporte                                                          </t>
    </r>
    <r>
      <rPr>
        <b/>
        <sz val="10"/>
        <color rgb="FFFF0000"/>
        <rFont val="Arial"/>
      </rPr>
      <t>Cálculo do valor: [(2xVTx30) – (6%xSB)]</t>
    </r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</si>
  <si>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A.2) Quantidade de passagens por dia por empregado</t>
    </r>
  </si>
  <si>
    <r>
      <rPr>
        <b/>
        <sz val="10"/>
        <color theme="1"/>
        <rFont val="Arial"/>
      </rPr>
      <t xml:space="preserve">Auxílio-Refeição/Alimentação  </t>
    </r>
    <r>
      <rPr>
        <b/>
        <sz val="10"/>
        <color rgb="FFFF0000"/>
        <rFont val="Arial"/>
      </rPr>
      <t>Cálculo do valor = [(30xVA)x(1-0,20)]</t>
    </r>
  </si>
  <si>
    <r>
      <rPr>
        <b/>
        <sz val="10"/>
        <color theme="1"/>
        <rFont val="Arial"/>
      </rPr>
      <t xml:space="preserve">     </t>
    </r>
    <r>
      <rPr>
        <b/>
        <sz val="10"/>
        <color rgb="FFFF0000"/>
        <rFont val="Arial"/>
      </rPr>
      <t>B.2) Quantidade de dias do mês de recebimento de auxílio-alimentação</t>
    </r>
  </si>
  <si>
    <r>
      <rPr>
        <b/>
        <sz val="10"/>
        <color rgb="FF009933"/>
        <rFont val="Arial"/>
      </rPr>
      <t xml:space="preserve">Outros (especificar) </t>
    </r>
    <r>
      <rPr>
        <b/>
        <sz val="10"/>
        <color rgb="FFFF0000"/>
        <rFont val="Arial"/>
      </rPr>
      <t>VERIFICAR AUXÍLIO CRECHE</t>
    </r>
  </si>
  <si>
    <r>
      <rPr>
        <b/>
        <sz val="10"/>
        <color rgb="FF000000"/>
        <rFont val="Arial"/>
      </rPr>
      <t>13º (décimo terceiro) Salário</t>
    </r>
    <r>
      <rPr>
        <b/>
        <sz val="10"/>
        <color rgb="FF009933"/>
        <rFont val="Arial"/>
      </rPr>
      <t xml:space="preserve"> </t>
    </r>
    <r>
      <rPr>
        <b/>
        <sz val="10"/>
        <color rgb="FF000000"/>
        <rFont val="Arial"/>
      </rPr>
      <t>e Adicional de Férias</t>
    </r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</si>
  <si>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</si>
  <si>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color theme="1"/>
        <rFont val="Arial"/>
      </rPr>
      <t xml:space="preserve">Aviso Prévio Trabalhado       </t>
    </r>
    <r>
      <rPr>
        <b/>
        <sz val="10"/>
        <color rgb="FFFF0000"/>
        <rFont val="Arial"/>
      </rPr>
      <t>(</t>
    </r>
    <r>
      <rPr>
        <b/>
        <sz val="9"/>
        <color rgb="FFFF0000"/>
        <rFont val="Arial"/>
      </rPr>
      <t xml:space="preserve">negociar extinção/redução na 1ª prorrogação)  Cálculo do valor= [(Rem1/30)x7]/20 meses do contratox100% dos empregados - ao final do contrato  </t>
    </r>
  </si>
  <si>
    <r>
      <rPr>
        <b/>
        <sz val="10"/>
        <color rgb="FF009933"/>
        <rFont val="Arial"/>
      </rPr>
      <t>Multa do FGTS sobre o Aviso PrévioTrabalhado e Aviso Prévio Indenizado</t>
    </r>
    <r>
      <rPr>
        <b/>
        <sz val="8"/>
        <color rgb="FF009933"/>
        <rFont val="Arial"/>
      </rPr>
      <t xml:space="preserve">Obrigatória a cotação de 4% (Lei nº 13.932/2019) sobre o valor do Módulo 1 – Composição da Remuneração1, conforme Anexo XII da IN Seges nº 5/2017 </t>
    </r>
  </si>
  <si>
    <r>
      <rPr>
        <b/>
        <sz val="11"/>
        <color rgb="FFFF3300"/>
        <rFont val="Arial"/>
      </rPr>
      <t>Base de cálculo para o Custo de Reposição do Profissional Ausente (substituto): BCCPA = Rem1 + 13º + Férias + 1/3Férias -</t>
    </r>
    <r>
      <rPr>
        <b/>
        <sz val="11"/>
        <color rgb="FF000080"/>
        <rFont val="Arial"/>
      </rPr>
      <t xml:space="preserve"> (exceto a linha “A” que tem % fixo pela conta vinculada e o Afastamento Maternidade1)</t>
    </r>
    <r>
      <rPr>
        <b/>
        <sz val="11"/>
        <color rgb="FFFF0000"/>
        <rFont val="Arial"/>
      </rPr>
      <t xml:space="preserve"> - </t>
    </r>
    <r>
      <rPr>
        <sz val="10"/>
        <color rgb="FF000000"/>
        <rFont val="Arial"/>
      </rPr>
      <t xml:space="preserve">Conforme item 89 do Relatório do Acórdão TCU nº 1.753/2008 do Plenário
</t>
    </r>
    <r>
      <rPr>
        <b/>
        <sz val="10"/>
        <color rgb="FF000000"/>
        <rFont val="Arial"/>
      </rPr>
      <t>OBS A SER EXCLUÍDA:O valor das Férias acima, quando tiver conta vinculada, deve ser o mesmo  do item 4.1.”A” abaixo</t>
    </r>
    <r>
      <rPr>
        <sz val="10"/>
        <color rgb="FF000000"/>
        <rFont val="Arial"/>
      </rPr>
      <t>. Quando não tem conta vinculada não se pode adotar esse procedimento pois se necessita do valor do BCCPA para se calcular as Férias, o que não é o caso da conta vinculada.</t>
    </r>
  </si>
  <si>
    <r>
      <rPr>
        <b/>
        <sz val="10"/>
        <color rgb="FF000000"/>
        <rFont val="Arial"/>
      </rPr>
      <t>Substituto na cobertura de Férias</t>
    </r>
    <r>
      <rPr>
        <b/>
        <sz val="10"/>
        <color rgb="FF009900"/>
        <rFont val="Arial"/>
      </rPr>
      <t xml:space="preserve"> </t>
    </r>
    <r>
      <rPr>
        <b/>
        <sz val="8"/>
        <color rgb="FFFF0000"/>
        <rFont val="Arial"/>
      </rPr>
      <t>Obrigatória a cotação de 9,0755% sobre o valor do Módulo 1 – Composição da Remuneração, conforme Anexo XII da IN 5/17 (Férias + Adicional = 9,075% + 3,025% = 12,10%)</t>
    </r>
  </si>
  <si>
    <r>
      <rPr>
        <b/>
        <sz val="10"/>
        <color theme="1"/>
        <rFont val="Arial"/>
      </rPr>
      <t xml:space="preserve">Substituto na cobertura de Ausências Legais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</si>
  <si>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Substituto na cobertura de Licença-Paternidade
</t>
    </r>
    <r>
      <rPr>
        <b/>
        <sz val="10"/>
        <color rgb="FFFF0000"/>
        <rFont val="Arial"/>
      </rPr>
      <t>Cálculo do valor = 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</si>
  <si>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Substituto na cobertura de Ausência por acidente de trabalho
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</si>
  <si>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Substituto na cobertura de Afastamento Maternidade 
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</si>
  <si>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theme="1"/>
        <rFont val="Arial"/>
      </rPr>
      <t>Substituto na cobertura de Ausência por doença</t>
    </r>
    <r>
      <rPr>
        <b/>
        <sz val="10"/>
        <color rgb="FF0000FF"/>
        <rFont val="Arial"/>
      </rPr>
      <t xml:space="preserve">
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)/30)x3dias]/12 
Incluído por permissão da IN Seges nº 5/2017, Anexo VII-B, item 1.7, alíneas "b" e "c".5.</t>
    </r>
  </si>
  <si>
    <r>
      <rPr>
        <b/>
        <sz val="10"/>
        <color rgb="FF000000"/>
        <rFont val="Arial"/>
      </rPr>
      <t>Substituto na cobertura de Intervalo para repouso ou alimentação</t>
    </r>
    <r>
      <rPr>
        <b/>
        <sz val="10"/>
        <color rgb="FF009900"/>
        <rFont val="Arial"/>
      </rPr>
      <t xml:space="preserve"> </t>
    </r>
    <r>
      <rPr>
        <b/>
        <sz val="10"/>
        <color rgb="FF0000FF"/>
        <rFont val="Arial"/>
      </rPr>
      <t>(Rendição para janta após 22 horas)-</t>
    </r>
    <r>
      <rPr>
        <b/>
        <sz val="10"/>
        <color rgb="FF0000FF"/>
        <rFont val="Arial"/>
      </rPr>
      <t xml:space="preserve">Remuneração do Jantista </t>
    </r>
    <r>
      <rPr>
        <b/>
        <sz val="12"/>
        <color rgb="FF0000FF"/>
        <rFont val="Arial"/>
      </rPr>
      <t xml:space="preserve">- </t>
    </r>
    <r>
      <rPr>
        <b/>
        <sz val="9"/>
        <color rgb="FFFF3300"/>
        <rFont val="Arial"/>
      </rPr>
      <t xml:space="preserve">Cálculo do valor: </t>
    </r>
    <r>
      <rPr>
        <b/>
        <sz val="9"/>
        <color rgb="FF0000FF"/>
        <rFont val="Arial"/>
      </rPr>
      <t>Salário-Base + AN + HNR:</t>
    </r>
    <r>
      <rPr>
        <b/>
        <sz val="9"/>
        <color rgb="FFFF3300"/>
        <rFont val="Arial"/>
      </rPr>
      <t xml:space="preserve"> {[VSH (c/peri) x (</t>
    </r>
    <r>
      <rPr>
        <b/>
        <sz val="9"/>
        <color rgb="FF0000FF"/>
        <rFont val="Arial"/>
      </rPr>
      <t>0,5</t>
    </r>
    <r>
      <rPr>
        <b/>
        <sz val="9"/>
        <color rgb="FFFF3300"/>
        <rFont val="Arial"/>
      </rPr>
      <t xml:space="preserve">h/dia x 1,1428571) x 30 dias x 1,2 (hora + 20% AN)] x 1,2  RSR } </t>
    </r>
  </si>
  <si>
    <r>
      <rPr>
        <b/>
        <sz val="10"/>
        <color theme="1"/>
        <rFont val="Arial"/>
      </rPr>
      <t xml:space="preserve">Adicional de Troca de Uniforme -  </t>
    </r>
    <r>
      <rPr>
        <b/>
        <sz val="10"/>
        <color rgb="FFFF0000"/>
        <rFont val="Arial"/>
      </rPr>
      <t xml:space="preserve">Cálculo do valor: 1/6 do salário-hora por dia com peri = (VSH/6=1,10)x1,3x2x15xDSR = R$ 1,43x2x15x1,2 </t>
    </r>
    <r>
      <rPr>
        <b/>
        <sz val="10"/>
        <color theme="1"/>
        <rFont val="Arial"/>
      </rPr>
      <t xml:space="preserve"> cláusula 33 da CCT 2018/2020 </t>
    </r>
  </si>
  <si>
    <r>
      <rPr>
        <b/>
        <sz val="10"/>
        <color rgb="FF000000"/>
        <rFont val="Arial"/>
      </rPr>
      <t xml:space="preserve">13 (décimo terceiro) Salário, Férias e Adicional de Férias </t>
    </r>
    <r>
      <rPr>
        <b/>
        <sz val="10"/>
        <color rgb="FF0000FF"/>
        <rFont val="Arial"/>
      </rPr>
      <t>do Jantista</t>
    </r>
    <r>
      <rPr>
        <b/>
        <sz val="10"/>
        <color rgb="FF000000"/>
        <rFont val="Arial"/>
      </rPr>
      <t xml:space="preserve"> –</t>
    </r>
    <r>
      <rPr>
        <b/>
        <sz val="10"/>
        <color rgb="FFFF0000"/>
        <rFont val="Arial"/>
      </rPr>
      <t xml:space="preserve"> Cálculo do valor: (Rem+Ad Unif)/12 +  ((Rem+Ad Unif)/3)/12</t>
    </r>
  </si>
  <si>
    <r>
      <rPr>
        <sz val="10"/>
        <color rgb="FF000000"/>
        <rFont val="Arial"/>
      </rPr>
      <t xml:space="preserve">  </t>
    </r>
    <r>
      <rPr>
        <b/>
        <sz val="10"/>
        <color rgb="FF000000"/>
        <rFont val="Arial"/>
      </rPr>
      <t xml:space="preserve">a) Cofins </t>
    </r>
  </si>
  <si>
    <r>
      <rPr>
        <sz val="10"/>
        <color rgb="FF000000"/>
        <rFont val="Arial"/>
      </rPr>
      <t xml:space="preserve">  </t>
    </r>
    <r>
      <rPr>
        <b/>
        <sz val="10"/>
        <color rgb="FF000000"/>
        <rFont val="Arial"/>
      </rPr>
      <t>b) PIS</t>
    </r>
  </si>
  <si>
    <r>
      <rPr>
        <b/>
        <sz val="10"/>
        <color theme="1"/>
        <rFont val="Arial"/>
      </rPr>
      <t xml:space="preserve"> c) IRPJ</t>
    </r>
    <r>
      <rPr>
        <b/>
        <sz val="10"/>
        <color rgb="FF0000FF"/>
        <rFont val="Arial"/>
      </rPr>
      <t xml:space="preserve"> </t>
    </r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</si>
  <si>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</si>
  <si>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b/>
        <sz val="10"/>
        <color theme="1"/>
        <rFont val="Arial"/>
      </rPr>
      <t xml:space="preserve">QUANTIDADE DE PESSOAL ALOCADO NA EXECUÇÃO CONTRATUAL (item 6.2.e do Anexo VII da IN nº 5/2017  e </t>
    </r>
    <r>
      <rPr>
        <b/>
        <sz val="10"/>
        <color rgb="FFFF0000"/>
        <rFont val="Arial"/>
      </rPr>
      <t>item 6.5.4.e do edital</t>
    </r>
    <r>
      <rPr>
        <b/>
        <sz val="10"/>
        <color rgb="FF000000"/>
        <rFont val="Arial"/>
      </rPr>
      <t>)</t>
    </r>
  </si>
  <si>
    <r>
      <rPr>
        <b/>
        <sz val="10"/>
        <color theme="1"/>
        <rFont val="Arial"/>
      </rPr>
      <t xml:space="preserve">MATERIAIS, MÁQUINAS E EQUIPAMENTOS ALOCADOS NA EXECUÇÃO CONTRATUAL (item 6.2.f do Anexo VII da IN nº 5/2017  e </t>
    </r>
    <r>
      <rPr>
        <b/>
        <sz val="10"/>
        <color rgb="FFFF0000"/>
        <rFont val="Arial"/>
      </rPr>
      <t>item 6.5.4.f do edital</t>
    </r>
    <r>
      <rPr>
        <b/>
        <sz val="10"/>
        <color rgb="FF000000"/>
        <rFont val="Arial"/>
      </rPr>
      <t>)</t>
    </r>
  </si>
  <si>
    <t>MATERIAIS E EQUIPAMENTOS GERAL</t>
  </si>
  <si>
    <t>Unidade</t>
  </si>
  <si>
    <t>Quantidade a disponibilizar</t>
  </si>
  <si>
    <t>Depreciação (em meses)</t>
  </si>
  <si>
    <t>Quantidade (20 meses)</t>
  </si>
  <si>
    <t>Valor Unitário</t>
  </si>
  <si>
    <t>Custo (20 meses)</t>
  </si>
  <si>
    <t>Lanterna recarregável LED</t>
  </si>
  <si>
    <t>Unid.</t>
  </si>
  <si>
    <t>Rádio comunicador codificado privativo com alcance mínimo de áudio em toda a área do Campus. Área de 5 hectares.</t>
  </si>
  <si>
    <t>Par</t>
  </si>
  <si>
    <t>Ponto Eletrônico</t>
  </si>
  <si>
    <t>Livro de ocorrências 50 páginas</t>
  </si>
  <si>
    <t xml:space="preserve">CUSTO TOTAL DOS EQUIPAMENTOS </t>
  </si>
  <si>
    <t xml:space="preserve">CUSTO MENSAL DOS EQUIPAMENTOS </t>
  </si>
  <si>
    <t>Observação: Estas quantidades deverão ser considerados para 20 meses, considerada a vigência do contrato.</t>
  </si>
  <si>
    <t>Itens a serem entregues no início da vigência contratual.</t>
  </si>
  <si>
    <t>UNIFORMES (1 POSTO)</t>
  </si>
  <si>
    <t>Quantidade contratual</t>
  </si>
  <si>
    <t>Média</t>
  </si>
  <si>
    <t>Custo contratual (20 meses)</t>
  </si>
  <si>
    <t xml:space="preserve">Calça comprida tecido social/brim (leve), 3 bolsos, numeração 30 ao 48, com fecho. </t>
  </si>
  <si>
    <t>Jaqueta de nylon, impermeável, contendo nome da empresa impresso ou bordado, com forro interno.</t>
  </si>
  <si>
    <t>Camisa social manga comprida contendo o nome da Empresa impresso ou bordado</t>
  </si>
  <si>
    <t>Camisa social manga curta contendo o nome da Empresa impresso ou bordado</t>
  </si>
  <si>
    <t>Blusão grosso de lã de boa qualidade contendo nome da Empresa bordado ou impresso, gola “V”, ou redonda</t>
  </si>
  <si>
    <t>Par de Sapatos com solado antiderrapante, preto</t>
  </si>
  <si>
    <t>Par de meias sociais, cor preta</t>
  </si>
  <si>
    <t>camisetas brancas em algodão, lisas, sem estampas</t>
  </si>
  <si>
    <t>Cinto para calça social, em couro sintético</t>
  </si>
  <si>
    <t>Boné na cor preta</t>
  </si>
  <si>
    <t>Par de botas de chuva</t>
  </si>
  <si>
    <t>Capa de Chuva</t>
  </si>
  <si>
    <t>Máscaras PFF2</t>
  </si>
  <si>
    <t>CUSTO TOTAL DOS UNIFORMES PARA 1 POSTO DE VIGIA</t>
  </si>
  <si>
    <t>CUSTO MENSAL DOS UNIFORMES PARA 1 POSTO DE VIGIA</t>
  </si>
  <si>
    <t>Observação: Estas quantidades de uniformes deverão ser considerados para 20 meses, considerada a vigência do contrato.</t>
  </si>
  <si>
    <t>QUADRO RESUMO</t>
  </si>
  <si>
    <t>CUSTO TOTAL</t>
  </si>
  <si>
    <t>CUSTO MENSAL</t>
  </si>
  <si>
    <t>CUSTO MENSAL/POSTO</t>
  </si>
  <si>
    <t>EQUIPAMENTOS</t>
  </si>
  <si>
    <t>UNIFORMES</t>
  </si>
  <si>
    <t>TOTAIS</t>
  </si>
  <si>
    <t>Quantidade de vigias por posto de trabalho</t>
  </si>
  <si>
    <t>Quantidade de postos de trabalho</t>
  </si>
  <si>
    <t>OBS.: Pesquisa de preços realizado no Painel de preços do Governo Federal pelo site: http://paineldeprecos.planejamento.gov.br/ e em sites públicos conforme consta nos autos.</t>
  </si>
  <si>
    <t>UNIFORMES (2 POSTOS)</t>
  </si>
  <si>
    <t>QUADRO-RESUMO DOS SERVIÇOS - Regime de Tributação: Lucro Real</t>
  </si>
  <si>
    <t xml:space="preserve">Licitação nº: </t>
  </si>
  <si>
    <t>Lajeado e Gravataí/RS</t>
  </si>
  <si>
    <t>Ano do Acordo, Convenção ou Dissídio Coletivo</t>
  </si>
  <si>
    <t>MTE RS000162/2021</t>
  </si>
  <si>
    <t xml:space="preserve"> VALOR MENSAL DOS SERVIÇOS</t>
  </si>
  <si>
    <t>Tipo de serviço (A)</t>
  </si>
  <si>
    <t xml:space="preserve">Qtde. de Empregados por Posto (B) </t>
  </si>
  <si>
    <t>Valor Proposto  por Posto  (C)</t>
  </si>
  <si>
    <t xml:space="preserve">Qtde. de  Postos  (D) </t>
  </si>
  <si>
    <t xml:space="preserve">Valor Total do Serviço (E) = (C x D) </t>
  </si>
  <si>
    <t>I</t>
  </si>
  <si>
    <t>Serviço de Vigias escala 44 horas semanais - Lajeado</t>
  </si>
  <si>
    <t>II</t>
  </si>
  <si>
    <t>Serviço de Vigias escala 44 horas semanais - Gravataí</t>
  </si>
  <si>
    <t>Serviço de Vigias escala 30 horas semanais - Gravataí</t>
  </si>
  <si>
    <t>Valor Mensal dos Serviços</t>
  </si>
  <si>
    <t xml:space="preserve">QUADRO DEMONSTRATIVO DO VALOR GLOBAL DA PROPOSTA </t>
  </si>
  <si>
    <t>Número de meses do Contrato</t>
  </si>
  <si>
    <r>
      <rPr>
        <b/>
        <sz val="10"/>
        <color theme="1"/>
        <rFont val="Arial"/>
      </rPr>
      <t>Valor Global do Proposta</t>
    </r>
    <r>
      <rPr>
        <sz val="10"/>
        <color theme="1"/>
        <rFont val="Arial"/>
      </rPr>
      <t xml:space="preserve"> (Valor mensal do serviço x  nº de meses do contrato).</t>
    </r>
  </si>
  <si>
    <t>23164.002628.2021-13</t>
  </si>
  <si>
    <t>Pregão IFSul nº 09/2021</t>
  </si>
  <si>
    <r>
      <rPr>
        <b/>
        <sz val="18"/>
        <color rgb="FFFF0000"/>
        <rFont val="Arial"/>
      </rPr>
      <t xml:space="preserve">ANEXO </t>
    </r>
    <r>
      <rPr>
        <b/>
        <sz val="18"/>
        <color theme="1"/>
        <rFont val="Arial"/>
      </rPr>
      <t xml:space="preserve"> </t>
    </r>
    <r>
      <rPr>
        <b/>
        <sz val="18"/>
        <color rgb="FFFF0000"/>
        <rFont val="Arial"/>
      </rPr>
      <t xml:space="preserve">do Pregão nº 9/2021 – </t>
    </r>
    <r>
      <rPr>
        <b/>
        <sz val="18"/>
        <color rgb="FF0000FF"/>
        <rFont val="Arial"/>
      </rPr>
      <t xml:space="preserve">CONTA VINCULADA
</t>
    </r>
    <r>
      <rPr>
        <b/>
        <sz val="18"/>
        <color rgb="FF000000"/>
        <rFont val="Arial"/>
      </rPr>
      <t xml:space="preserve">MODELO DE PLANILHA DE CUSTOS E FORMAÇÃO DE PREÇOS </t>
    </r>
    <r>
      <rPr>
        <b/>
        <sz val="18"/>
        <color rgb="FF800080"/>
        <rFont val="Arial"/>
      </rPr>
      <t xml:space="preserve"> </t>
    </r>
    <r>
      <rPr>
        <b/>
        <sz val="18"/>
        <color theme="1"/>
        <rFont val="Arial"/>
      </rPr>
      <t xml:space="preserve"> </t>
    </r>
  </si>
  <si>
    <r>
      <rPr>
        <b/>
        <sz val="18"/>
        <color rgb="FFFF0000"/>
        <rFont val="Arial"/>
      </rPr>
      <t>Pregão IFSul nº 9/2021 - Câmpus Lajeado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PLANILHA DE CUSTOS E FORMAÇÃO DE PREÇOS </t>
    </r>
    <r>
      <rPr>
        <b/>
        <sz val="18"/>
        <color rgb="FF800080"/>
        <rFont val="Arial"/>
      </rPr>
      <t xml:space="preserve"> </t>
    </r>
  </si>
  <si>
    <r>
      <rPr>
        <b/>
        <sz val="18"/>
        <color rgb="FFFF0000"/>
        <rFont val="Arial"/>
      </rPr>
      <t>Pregão IFSul nº 9/2021 - Câmpus Gravataí</t>
    </r>
    <r>
      <rPr>
        <b/>
        <sz val="18"/>
        <color rgb="FF0000FF"/>
        <rFont val="Arial"/>
      </rPr>
      <t xml:space="preserve">
</t>
    </r>
    <r>
      <rPr>
        <b/>
        <sz val="18"/>
        <color theme="1"/>
        <rFont val="Arial"/>
      </rPr>
      <t xml:space="preserve">PLANILHA DE CUSTOS E FORMAÇÃO DE PREÇOS </t>
    </r>
    <r>
      <rPr>
        <b/>
        <sz val="18"/>
        <color rgb="FF800080"/>
        <rFont val="Arial"/>
      </rPr>
      <t xml:space="preserve"> </t>
    </r>
  </si>
  <si>
    <t>Dia: 04/01/2022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</si>
</sst>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R$ &quot;* #,##0.00_);_(&quot;R$ &quot;* \(#,##0.00\);_(&quot;R$ &quot;* \-??_);_(@_)"/>
    <numFmt numFmtId="165" formatCode="&quot;R$ &quot;#,##0.00"/>
    <numFmt numFmtId="166" formatCode="0.000%"/>
    <numFmt numFmtId="167" formatCode="0.0000"/>
    <numFmt numFmtId="168" formatCode="0.0000%"/>
    <numFmt numFmtId="169" formatCode="_(* #,##0.00_);_(* \(#,##0.00\);_(* \-??_);_(@_)"/>
    <numFmt numFmtId="170" formatCode="_([$R$ -416]* #,##0.00_);_([$R$ -416]* \(#,##0.00\);_([$R$ -416]* &quot;-&quot;??_);_(@_)"/>
    <numFmt numFmtId="171" formatCode="[$R$ -416]#,##0.00"/>
  </numFmts>
  <fonts count="48">
    <font>
      <sz val="10"/>
      <color rgb="FF000000"/>
      <name val="Arial"/>
    </font>
    <font>
      <sz val="9"/>
      <color theme="1"/>
      <name val="Arial"/>
    </font>
    <font>
      <b/>
      <sz val="15"/>
      <color rgb="FF800080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rgb="FF000000"/>
      <name val="Roboto"/>
    </font>
    <font>
      <b/>
      <sz val="11"/>
      <color theme="1"/>
      <name val="Arial"/>
    </font>
    <font>
      <b/>
      <sz val="10"/>
      <color rgb="FFFF0000"/>
      <name val="Arial"/>
    </font>
    <font>
      <b/>
      <sz val="15"/>
      <color theme="1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1"/>
      <color rgb="FFFF0000"/>
      <name val="Arial"/>
    </font>
    <font>
      <b/>
      <sz val="9"/>
      <color rgb="FF0000FF"/>
      <name val="Arial"/>
    </font>
    <font>
      <sz val="10"/>
      <color theme="1"/>
      <name val="Arial"/>
    </font>
    <font>
      <sz val="10"/>
      <color theme="1"/>
      <name val="Calibri"/>
    </font>
    <font>
      <sz val="11"/>
      <color rgb="FF1155CC"/>
      <name val="Inconsolata"/>
    </font>
    <font>
      <b/>
      <sz val="12"/>
      <color theme="1"/>
      <name val="Arial"/>
    </font>
    <font>
      <b/>
      <sz val="10"/>
      <color rgb="FF009933"/>
      <name val="Arial"/>
    </font>
    <font>
      <sz val="9"/>
      <color rgb="FF009933"/>
      <name val="Arial"/>
    </font>
    <font>
      <b/>
      <sz val="10"/>
      <color rgb="FF009900"/>
      <name val="Arial"/>
    </font>
    <font>
      <sz val="11"/>
      <color rgb="FF000000"/>
      <name val="Inconsolata"/>
    </font>
    <font>
      <b/>
      <sz val="12"/>
      <color rgb="FF000000"/>
      <name val="Arial"/>
    </font>
    <font>
      <b/>
      <sz val="11"/>
      <color rgb="FF000000"/>
      <name val="Arial"/>
    </font>
    <font>
      <sz val="9"/>
      <color rgb="FF000000"/>
      <name val="Arial"/>
    </font>
    <font>
      <b/>
      <sz val="11"/>
      <color rgb="FFFF3300"/>
      <name val="Arial"/>
    </font>
    <font>
      <sz val="9"/>
      <color rgb="FF009900"/>
      <name val="Arial"/>
    </font>
    <font>
      <b/>
      <sz val="9"/>
      <color theme="1"/>
      <name val="Arial"/>
    </font>
    <font>
      <b/>
      <sz val="14"/>
      <color theme="1"/>
      <name val="Arial"/>
    </font>
    <font>
      <b/>
      <sz val="9"/>
      <color rgb="FFFF0000"/>
      <name val="Arial"/>
    </font>
    <font>
      <sz val="10"/>
      <color rgb="FFFF0000"/>
      <name val="Arial"/>
    </font>
    <font>
      <b/>
      <sz val="12"/>
      <color rgb="FFFF0000"/>
      <name val="Arial"/>
    </font>
    <font>
      <b/>
      <sz val="14"/>
      <color rgb="FFFF0000"/>
      <name val="Arial"/>
    </font>
    <font>
      <b/>
      <sz val="10"/>
      <color rgb="FF2323DC"/>
      <name val="Arial"/>
    </font>
    <font>
      <b/>
      <sz val="14"/>
      <color rgb="FF800080"/>
      <name val="Arial"/>
    </font>
    <font>
      <b/>
      <sz val="15"/>
      <color rgb="FFFF0000"/>
      <name val="Arial"/>
    </font>
    <font>
      <b/>
      <sz val="16"/>
      <color rgb="FFFF0000"/>
      <name val="Arial"/>
    </font>
    <font>
      <b/>
      <sz val="18"/>
      <color rgb="FFFF0000"/>
      <name val="Arial"/>
    </font>
    <font>
      <b/>
      <sz val="18"/>
      <color rgb="FF0000FF"/>
      <name val="Arial"/>
    </font>
    <font>
      <b/>
      <sz val="18"/>
      <color rgb="FF800080"/>
      <name val="Arial"/>
    </font>
    <font>
      <b/>
      <sz val="11"/>
      <color rgb="FF0000FF"/>
      <name val="Arial"/>
    </font>
    <font>
      <b/>
      <sz val="11"/>
      <color rgb="FF009900"/>
      <name val="Arial"/>
    </font>
    <font>
      <b/>
      <sz val="8"/>
      <color rgb="FFFF0000"/>
      <name val="Arial"/>
    </font>
    <font>
      <b/>
      <sz val="8"/>
      <color rgb="FF009933"/>
      <name val="Arial"/>
    </font>
    <font>
      <b/>
      <sz val="11"/>
      <color rgb="FF000080"/>
      <name val="Arial"/>
    </font>
    <font>
      <b/>
      <sz val="12"/>
      <color rgb="FF0000FF"/>
      <name val="Arial"/>
    </font>
    <font>
      <b/>
      <sz val="9"/>
      <color rgb="FFFF3300"/>
      <name val="Arial"/>
    </font>
    <font>
      <b/>
      <sz val="18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2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0" fontId="1" fillId="0" borderId="0" xfId="0" applyNumberFormat="1" applyFont="1"/>
    <xf numFmtId="0" fontId="4" fillId="0" borderId="8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5" fillId="0" borderId="0" xfId="0" applyFont="1"/>
    <xf numFmtId="0" fontId="16" fillId="2" borderId="1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8" xfId="0" applyNumberFormat="1" applyFont="1" applyBorder="1" applyAlignment="1">
      <alignment vertical="center"/>
    </xf>
    <xf numFmtId="165" fontId="1" fillId="0" borderId="0" xfId="0" applyNumberFormat="1" applyFont="1"/>
    <xf numFmtId="0" fontId="18" fillId="0" borderId="8" xfId="0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vertical="center"/>
    </xf>
    <xf numFmtId="4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20" fillId="0" borderId="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1" fillId="2" borderId="1" xfId="0" applyFont="1" applyFill="1" applyBorder="1"/>
    <xf numFmtId="4" fontId="10" fillId="0" borderId="8" xfId="0" applyNumberFormat="1" applyFont="1" applyBorder="1" applyAlignment="1">
      <alignment vertical="center"/>
    </xf>
    <xf numFmtId="4" fontId="7" fillId="3" borderId="8" xfId="0" applyNumberFormat="1" applyFont="1" applyFill="1" applyBorder="1" applyAlignment="1">
      <alignment vertical="center"/>
    </xf>
    <xf numFmtId="4" fontId="1" fillId="0" borderId="0" xfId="0" applyNumberFormat="1" applyFont="1"/>
    <xf numFmtId="4" fontId="7" fillId="3" borderId="8" xfId="0" applyNumberFormat="1" applyFont="1" applyFill="1" applyBorder="1" applyAlignment="1">
      <alignment horizontal="right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23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166" fontId="23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/>
    </xf>
    <xf numFmtId="4" fontId="4" fillId="3" borderId="8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right" vertical="center"/>
    </xf>
    <xf numFmtId="2" fontId="1" fillId="0" borderId="0" xfId="0" applyNumberFormat="1" applyFont="1"/>
    <xf numFmtId="0" fontId="4" fillId="0" borderId="8" xfId="0" applyFont="1" applyBorder="1" applyAlignment="1">
      <alignment horizontal="right" vertical="center" wrapText="1"/>
    </xf>
    <xf numFmtId="9" fontId="4" fillId="0" borderId="8" xfId="0" applyNumberFormat="1" applyFont="1" applyBorder="1" applyAlignment="1">
      <alignment horizontal="left" vertical="center" wrapText="1"/>
    </xf>
    <xf numFmtId="167" fontId="4" fillId="0" borderId="8" xfId="0" applyNumberFormat="1" applyFont="1" applyBorder="1" applyAlignment="1">
      <alignment horizontal="left" vertical="center" wrapText="1"/>
    </xf>
    <xf numFmtId="168" fontId="4" fillId="0" borderId="8" xfId="0" applyNumberFormat="1" applyFont="1" applyBorder="1" applyAlignment="1">
      <alignment horizontal="right" vertical="center"/>
    </xf>
    <xf numFmtId="168" fontId="4" fillId="3" borderId="8" xfId="0" applyNumberFormat="1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14" fillId="5" borderId="12" xfId="0" applyFont="1" applyFill="1" applyBorder="1" applyAlignment="1">
      <alignment horizontal="right" vertical="center"/>
    </xf>
    <xf numFmtId="10" fontId="4" fillId="5" borderId="12" xfId="0" applyNumberFormat="1" applyFont="1" applyFill="1" applyBorder="1" applyAlignment="1">
      <alignment horizontal="right" vertical="center"/>
    </xf>
    <xf numFmtId="4" fontId="4" fillId="5" borderId="13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5" fontId="18" fillId="0" borderId="8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10" fontId="8" fillId="0" borderId="2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4" fontId="18" fillId="0" borderId="8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9" fillId="0" borderId="0" xfId="0" applyFont="1"/>
    <xf numFmtId="4" fontId="18" fillId="0" borderId="8" xfId="0" applyNumberFormat="1" applyFont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2" fontId="15" fillId="0" borderId="0" xfId="0" applyNumberFormat="1" applyFont="1"/>
    <xf numFmtId="4" fontId="15" fillId="0" borderId="0" xfId="0" applyNumberFormat="1" applyFont="1"/>
    <xf numFmtId="4" fontId="10" fillId="3" borderId="8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10" fontId="18" fillId="0" borderId="8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4" fontId="10" fillId="0" borderId="8" xfId="0" applyNumberFormat="1" applyFont="1" applyBorder="1" applyAlignment="1">
      <alignment horizontal="right"/>
    </xf>
    <xf numFmtId="4" fontId="10" fillId="3" borderId="8" xfId="0" applyNumberFormat="1" applyFont="1" applyFill="1" applyBorder="1" applyAlignment="1">
      <alignment horizontal="right" vertical="center"/>
    </xf>
    <xf numFmtId="16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" fontId="4" fillId="3" borderId="8" xfId="0" applyNumberFormat="1" applyFont="1" applyFill="1" applyBorder="1" applyAlignment="1">
      <alignment horizontal="right" vertical="center" wrapText="1"/>
    </xf>
    <xf numFmtId="169" fontId="1" fillId="0" borderId="0" xfId="0" applyNumberFormat="1" applyFont="1"/>
    <xf numFmtId="0" fontId="28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right" vertical="center"/>
    </xf>
    <xf numFmtId="10" fontId="10" fillId="0" borderId="8" xfId="0" applyNumberFormat="1" applyFont="1" applyBorder="1" applyAlignment="1">
      <alignment horizontal="right" vertical="center"/>
    </xf>
    <xf numFmtId="170" fontId="24" fillId="0" borderId="0" xfId="0" applyNumberFormat="1" applyFont="1"/>
    <xf numFmtId="10" fontId="8" fillId="0" borderId="8" xfId="0" applyNumberFormat="1" applyFont="1" applyBorder="1" applyAlignment="1">
      <alignment horizontal="center" vertical="center"/>
    </xf>
    <xf numFmtId="171" fontId="24" fillId="0" borderId="0" xfId="0" applyNumberFormat="1" applyFont="1"/>
    <xf numFmtId="0" fontId="17" fillId="0" borderId="8" xfId="0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right" vertical="center" wrapText="1"/>
    </xf>
    <xf numFmtId="4" fontId="10" fillId="0" borderId="8" xfId="0" applyNumberFormat="1" applyFont="1" applyBorder="1"/>
    <xf numFmtId="170" fontId="24" fillId="0" borderId="16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 vertical="center" wrapText="1"/>
    </xf>
    <xf numFmtId="170" fontId="1" fillId="0" borderId="0" xfId="0" applyNumberFormat="1" applyFont="1"/>
    <xf numFmtId="10" fontId="8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9" fontId="8" fillId="0" borderId="0" xfId="0" applyNumberFormat="1" applyFont="1" applyAlignment="1">
      <alignment horizontal="left"/>
    </xf>
    <xf numFmtId="169" fontId="8" fillId="2" borderId="1" xfId="0" applyNumberFormat="1" applyFont="1" applyFill="1" applyBorder="1" applyAlignment="1">
      <alignment horizontal="left"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3" fontId="31" fillId="3" borderId="8" xfId="0" applyNumberFormat="1" applyFont="1" applyFill="1" applyBorder="1" applyAlignment="1">
      <alignment horizontal="center" vertical="center" wrapText="1"/>
    </xf>
    <xf numFmtId="170" fontId="15" fillId="0" borderId="0" xfId="0" applyNumberFormat="1" applyFont="1"/>
    <xf numFmtId="0" fontId="9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69" fontId="4" fillId="6" borderId="8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8" xfId="0" applyFont="1" applyBorder="1"/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169" fontId="14" fillId="0" borderId="8" xfId="0" applyNumberFormat="1" applyFont="1" applyBorder="1" applyAlignment="1">
      <alignment vertical="center" wrapText="1"/>
    </xf>
    <xf numFmtId="169" fontId="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169" fontId="14" fillId="0" borderId="8" xfId="0" applyNumberFormat="1" applyFont="1" applyBorder="1" applyAlignment="1">
      <alignment vertical="center"/>
    </xf>
    <xf numFmtId="4" fontId="4" fillId="6" borderId="8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/>
    <xf numFmtId="0" fontId="14" fillId="0" borderId="0" xfId="0" applyFont="1" applyAlignment="1">
      <alignment horizontal="center" vertical="center"/>
    </xf>
    <xf numFmtId="169" fontId="14" fillId="0" borderId="0" xfId="0" applyNumberFormat="1" applyFont="1" applyAlignment="1">
      <alignment horizontal="right" vertical="center"/>
    </xf>
    <xf numFmtId="0" fontId="28" fillId="6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vertical="center" wrapText="1"/>
    </xf>
    <xf numFmtId="1" fontId="14" fillId="0" borderId="8" xfId="0" applyNumberFormat="1" applyFont="1" applyBorder="1" applyAlignment="1">
      <alignment horizontal="center" vertical="center"/>
    </xf>
    <xf numFmtId="169" fontId="14" fillId="0" borderId="8" xfId="0" applyNumberFormat="1" applyFont="1" applyBorder="1" applyAlignment="1">
      <alignment horizontal="right" vertical="center"/>
    </xf>
    <xf numFmtId="4" fontId="14" fillId="0" borderId="8" xfId="0" applyNumberFormat="1" applyFont="1" applyBorder="1" applyAlignment="1">
      <alignment horizontal="right" vertical="center"/>
    </xf>
    <xf numFmtId="0" fontId="6" fillId="5" borderId="8" xfId="0" applyFont="1" applyFill="1" applyBorder="1"/>
    <xf numFmtId="0" fontId="0" fillId="5" borderId="8" xfId="0" applyFont="1" applyFill="1" applyBorder="1" applyAlignment="1">
      <alignment horizontal="left" vertical="center"/>
    </xf>
    <xf numFmtId="4" fontId="4" fillId="6" borderId="8" xfId="0" applyNumberFormat="1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7" borderId="8" xfId="0" applyNumberFormat="1" applyFont="1" applyFill="1" applyBorder="1" applyAlignment="1">
      <alignment horizontal="left" vertical="center"/>
    </xf>
    <xf numFmtId="4" fontId="4" fillId="7" borderId="8" xfId="0" applyNumberFormat="1" applyFont="1" applyFill="1" applyBorder="1" applyAlignment="1">
      <alignment horizontal="right" vertical="center"/>
    </xf>
    <xf numFmtId="169" fontId="4" fillId="7" borderId="8" xfId="0" applyNumberFormat="1" applyFont="1" applyFill="1" applyBorder="1" applyAlignment="1">
      <alignment horizontal="center" vertical="center"/>
    </xf>
    <xf numFmtId="169" fontId="4" fillId="6" borderId="8" xfId="0" applyNumberFormat="1" applyFont="1" applyFill="1" applyBorder="1" applyAlignment="1">
      <alignment vertical="center"/>
    </xf>
    <xf numFmtId="4" fontId="33" fillId="0" borderId="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9" fillId="7" borderId="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64" fontId="14" fillId="0" borderId="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center" vertical="center"/>
    </xf>
    <xf numFmtId="164" fontId="14" fillId="0" borderId="0" xfId="0" applyNumberFormat="1" applyFont="1"/>
    <xf numFmtId="164" fontId="4" fillId="0" borderId="41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4" fontId="8" fillId="0" borderId="4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2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30" xfId="0" applyFont="1" applyBorder="1"/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4" fillId="0" borderId="2" xfId="0" applyFont="1" applyBorder="1" applyAlignment="1">
      <alignment horizontal="left" vertical="top"/>
    </xf>
    <xf numFmtId="0" fontId="4" fillId="5" borderId="2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30" fillId="5" borderId="2" xfId="0" applyFont="1" applyFill="1" applyBorder="1" applyAlignment="1">
      <alignment vertical="center"/>
    </xf>
    <xf numFmtId="0" fontId="5" fillId="0" borderId="9" xfId="0" applyFont="1" applyBorder="1"/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/>
    </xf>
    <xf numFmtId="0" fontId="28" fillId="0" borderId="2" xfId="0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32" fillId="0" borderId="2" xfId="0" applyFont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left" vertical="center" wrapText="1"/>
    </xf>
    <xf numFmtId="165" fontId="3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4" fillId="5" borderId="20" xfId="0" applyFont="1" applyFill="1" applyBorder="1" applyAlignment="1">
      <alignment horizontal="right" vertical="center"/>
    </xf>
    <xf numFmtId="0" fontId="5" fillId="0" borderId="21" xfId="0" applyFont="1" applyBorder="1"/>
    <xf numFmtId="0" fontId="5" fillId="0" borderId="22" xfId="0" applyFont="1" applyBorder="1"/>
    <xf numFmtId="0" fontId="1" fillId="0" borderId="17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8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/>
    </xf>
    <xf numFmtId="0" fontId="20" fillId="5" borderId="2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4" fontId="12" fillId="0" borderId="2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7" fillId="7" borderId="2" xfId="0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/>
    </xf>
    <xf numFmtId="169" fontId="4" fillId="7" borderId="2" xfId="0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169" fontId="14" fillId="0" borderId="2" xfId="0" applyNumberFormat="1" applyFont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5" fillId="0" borderId="46" xfId="0" applyFont="1" applyBorder="1"/>
    <xf numFmtId="0" fontId="4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5" fillId="0" borderId="36" xfId="0" applyFont="1" applyBorder="1"/>
    <xf numFmtId="0" fontId="5" fillId="0" borderId="37" xfId="0" applyFont="1" applyBorder="1"/>
    <xf numFmtId="0" fontId="14" fillId="0" borderId="2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/>
    <xf numFmtId="0" fontId="5" fillId="0" borderId="40" xfId="0" applyFont="1" applyBorder="1"/>
    <xf numFmtId="0" fontId="34" fillId="0" borderId="45" xfId="0" applyFont="1" applyBorder="1" applyAlignment="1">
      <alignment horizontal="center" vertical="center" wrapText="1"/>
    </xf>
    <xf numFmtId="0" fontId="5" fillId="0" borderId="47" xfId="0" applyFont="1" applyBorder="1"/>
    <xf numFmtId="0" fontId="7" fillId="3" borderId="20" xfId="0" applyFont="1" applyFill="1" applyBorder="1" applyAlignment="1">
      <alignment horizontal="left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5" fillId="0" borderId="32" xfId="0" applyFont="1" applyBorder="1"/>
    <xf numFmtId="0" fontId="5" fillId="0" borderId="33" xfId="0" applyFont="1" applyBorder="1"/>
    <xf numFmtId="0" fontId="3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selection activeCell="K6" sqref="K6"/>
    </sheetView>
  </sheetViews>
  <sheetFormatPr defaultColWidth="14.42578125" defaultRowHeight="15" customHeight="1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11.85546875" customWidth="1"/>
    <col min="8" max="8" width="28" customWidth="1"/>
    <col min="9" max="9" width="14.5703125" customWidth="1"/>
    <col min="10" max="10" width="11.28515625" customWidth="1"/>
    <col min="11" max="11" width="11.140625" customWidth="1"/>
    <col min="12" max="12" width="7.42578125" customWidth="1"/>
    <col min="13" max="13" width="6.5703125" customWidth="1"/>
    <col min="14" max="15" width="9.28515625" customWidth="1"/>
    <col min="16" max="31" width="9.140625" customWidth="1"/>
  </cols>
  <sheetData>
    <row r="1" spans="1:31" ht="12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2.25" customHeight="1">
      <c r="A2" s="305" t="s">
        <v>0</v>
      </c>
      <c r="B2" s="189"/>
      <c r="C2" s="189"/>
      <c r="D2" s="189"/>
      <c r="E2" s="189"/>
      <c r="F2" s="189"/>
      <c r="G2" s="189"/>
      <c r="H2" s="189"/>
      <c r="I2" s="18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41.25" customHeight="1">
      <c r="A3" s="306" t="s">
        <v>344</v>
      </c>
      <c r="B3" s="189"/>
      <c r="C3" s="189"/>
      <c r="D3" s="189"/>
      <c r="E3" s="189"/>
      <c r="F3" s="189"/>
      <c r="G3" s="189"/>
      <c r="H3" s="189"/>
      <c r="I3" s="1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.75" customHeight="1">
      <c r="A4" s="233" t="s">
        <v>1</v>
      </c>
      <c r="B4" s="195"/>
      <c r="C4" s="195"/>
      <c r="D4" s="195"/>
      <c r="E4" s="196"/>
      <c r="F4" s="307" t="s">
        <v>341</v>
      </c>
      <c r="G4" s="195"/>
      <c r="H4" s="195"/>
      <c r="I4" s="19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.75" customHeight="1">
      <c r="A5" s="233" t="s">
        <v>2</v>
      </c>
      <c r="B5" s="195"/>
      <c r="C5" s="195"/>
      <c r="D5" s="195"/>
      <c r="E5" s="196"/>
      <c r="F5" s="308" t="s">
        <v>342</v>
      </c>
      <c r="G5" s="309"/>
      <c r="H5" s="309"/>
      <c r="I5" s="3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customHeight="1">
      <c r="A6" s="233" t="s">
        <v>346</v>
      </c>
      <c r="B6" s="195"/>
      <c r="C6" s="195"/>
      <c r="D6" s="195"/>
      <c r="E6" s="195"/>
      <c r="F6" s="195"/>
      <c r="G6" s="195"/>
      <c r="H6" s="195"/>
      <c r="I6" s="19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20.25" customHeight="1">
      <c r="A7" s="219" t="s">
        <v>3</v>
      </c>
      <c r="B7" s="195"/>
      <c r="C7" s="195"/>
      <c r="D7" s="195"/>
      <c r="E7" s="195"/>
      <c r="F7" s="195"/>
      <c r="G7" s="195"/>
      <c r="H7" s="195"/>
      <c r="I7" s="19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5.75" customHeight="1">
      <c r="A8" s="3" t="s">
        <v>4</v>
      </c>
      <c r="B8" s="233" t="s">
        <v>5</v>
      </c>
      <c r="C8" s="195"/>
      <c r="D8" s="195"/>
      <c r="E8" s="195"/>
      <c r="F8" s="195"/>
      <c r="G8" s="196"/>
      <c r="H8" s="300"/>
      <c r="I8" s="19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3" t="s">
        <v>6</v>
      </c>
      <c r="B9" s="233" t="s">
        <v>7</v>
      </c>
      <c r="C9" s="195"/>
      <c r="D9" s="195"/>
      <c r="E9" s="195"/>
      <c r="F9" s="195"/>
      <c r="G9" s="196"/>
      <c r="H9" s="299" t="s">
        <v>8</v>
      </c>
      <c r="I9" s="19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9.5" customHeight="1">
      <c r="A10" s="3" t="s">
        <v>9</v>
      </c>
      <c r="B10" s="233" t="s">
        <v>10</v>
      </c>
      <c r="C10" s="195"/>
      <c r="D10" s="195"/>
      <c r="E10" s="195"/>
      <c r="F10" s="195"/>
      <c r="G10" s="196"/>
      <c r="H10" s="300">
        <v>44197</v>
      </c>
      <c r="I10" s="19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3" t="s">
        <v>11</v>
      </c>
      <c r="B11" s="233" t="s">
        <v>12</v>
      </c>
      <c r="C11" s="195"/>
      <c r="D11" s="195"/>
      <c r="E11" s="195"/>
      <c r="F11" s="195"/>
      <c r="G11" s="196"/>
      <c r="H11" s="299">
        <v>20</v>
      </c>
      <c r="I11" s="196"/>
      <c r="J11" s="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1" customHeight="1">
      <c r="A12" s="303" t="s">
        <v>13</v>
      </c>
      <c r="B12" s="195"/>
      <c r="C12" s="195"/>
      <c r="D12" s="195"/>
      <c r="E12" s="195"/>
      <c r="F12" s="195"/>
      <c r="G12" s="195"/>
      <c r="H12" s="195"/>
      <c r="I12" s="19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>
      <c r="A13" s="242" t="s">
        <v>14</v>
      </c>
      <c r="B13" s="195"/>
      <c r="C13" s="195"/>
      <c r="D13" s="195"/>
      <c r="E13" s="216"/>
      <c r="F13" s="242" t="s">
        <v>15</v>
      </c>
      <c r="G13" s="196"/>
      <c r="H13" s="242" t="s">
        <v>16</v>
      </c>
      <c r="I13" s="19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>
      <c r="A14" s="304" t="s">
        <v>17</v>
      </c>
      <c r="B14" s="195"/>
      <c r="C14" s="195"/>
      <c r="D14" s="195"/>
      <c r="E14" s="196"/>
      <c r="F14" s="301" t="s">
        <v>18</v>
      </c>
      <c r="G14" s="196"/>
      <c r="H14" s="302">
        <v>1</v>
      </c>
      <c r="I14" s="19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>
      <c r="A15" s="295" t="s">
        <v>19</v>
      </c>
      <c r="B15" s="195"/>
      <c r="C15" s="195"/>
      <c r="D15" s="195"/>
      <c r="E15" s="195"/>
      <c r="F15" s="195"/>
      <c r="G15" s="196"/>
      <c r="H15" s="296">
        <f>SUM(H14)</f>
        <v>1</v>
      </c>
      <c r="I15" s="19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7.5" customHeight="1">
      <c r="A16" s="274"/>
      <c r="B16" s="195"/>
      <c r="C16" s="195"/>
      <c r="D16" s="195"/>
      <c r="E16" s="195"/>
      <c r="F16" s="195"/>
      <c r="G16" s="195"/>
      <c r="H16" s="195"/>
      <c r="I16" s="196"/>
      <c r="J16" s="5"/>
      <c r="K16" s="6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9.5" customHeight="1">
      <c r="A17" s="297" t="s">
        <v>20</v>
      </c>
      <c r="B17" s="195"/>
      <c r="C17" s="195"/>
      <c r="D17" s="195"/>
      <c r="E17" s="195"/>
      <c r="F17" s="195"/>
      <c r="G17" s="195"/>
      <c r="H17" s="195"/>
      <c r="I17" s="196"/>
      <c r="J17" s="5"/>
      <c r="K17" s="6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75" customHeight="1">
      <c r="A18" s="298"/>
      <c r="B18" s="195"/>
      <c r="C18" s="195"/>
      <c r="D18" s="195"/>
      <c r="E18" s="195"/>
      <c r="F18" s="195"/>
      <c r="G18" s="195"/>
      <c r="H18" s="195"/>
      <c r="I18" s="196"/>
      <c r="J18" s="5"/>
      <c r="K18" s="6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>
      <c r="A19" s="219" t="s">
        <v>21</v>
      </c>
      <c r="B19" s="195"/>
      <c r="C19" s="195"/>
      <c r="D19" s="195"/>
      <c r="E19" s="195"/>
      <c r="F19" s="195"/>
      <c r="G19" s="195"/>
      <c r="H19" s="195"/>
      <c r="I19" s="196"/>
      <c r="J19" s="294"/>
      <c r="K19" s="189"/>
      <c r="L19" s="189"/>
      <c r="M19" s="189"/>
      <c r="N19" s="189"/>
      <c r="O19" s="189"/>
      <c r="P19" s="189"/>
      <c r="Q19" s="294"/>
      <c r="R19" s="189"/>
      <c r="S19" s="189"/>
      <c r="T19" s="189"/>
      <c r="U19" s="189"/>
      <c r="V19" s="189"/>
      <c r="W19" s="189"/>
      <c r="X19" s="189"/>
      <c r="Y19" s="294"/>
      <c r="Z19" s="189"/>
      <c r="AA19" s="189"/>
      <c r="AB19" s="189"/>
      <c r="AC19" s="189"/>
      <c r="AD19" s="189"/>
      <c r="AE19" s="189"/>
    </row>
    <row r="20" spans="1:31" ht="27" customHeight="1">
      <c r="A20" s="3">
        <v>1</v>
      </c>
      <c r="B20" s="233" t="s">
        <v>22</v>
      </c>
      <c r="C20" s="195"/>
      <c r="D20" s="195"/>
      <c r="E20" s="195"/>
      <c r="F20" s="195"/>
      <c r="G20" s="196"/>
      <c r="H20" s="288" t="s">
        <v>23</v>
      </c>
      <c r="I20" s="19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9.5" customHeight="1">
      <c r="A21" s="9">
        <v>2</v>
      </c>
      <c r="B21" s="253" t="s">
        <v>24</v>
      </c>
      <c r="C21" s="195"/>
      <c r="D21" s="195"/>
      <c r="E21" s="195"/>
      <c r="F21" s="195"/>
      <c r="G21" s="196"/>
      <c r="H21" s="289" t="s">
        <v>25</v>
      </c>
      <c r="I21" s="19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3">
        <v>3</v>
      </c>
      <c r="B22" s="233" t="s">
        <v>26</v>
      </c>
      <c r="C22" s="195"/>
      <c r="D22" s="195"/>
      <c r="E22" s="195"/>
      <c r="F22" s="195"/>
      <c r="G22" s="196"/>
      <c r="H22" s="290">
        <v>1426.75</v>
      </c>
      <c r="I22" s="19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3">
        <v>4</v>
      </c>
      <c r="B23" s="233" t="s">
        <v>27</v>
      </c>
      <c r="C23" s="195"/>
      <c r="D23" s="195"/>
      <c r="E23" s="195"/>
      <c r="F23" s="195"/>
      <c r="G23" s="196"/>
      <c r="H23" s="291" t="s">
        <v>23</v>
      </c>
      <c r="I23" s="196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3">
        <v>5</v>
      </c>
      <c r="B24" s="233" t="s">
        <v>28</v>
      </c>
      <c r="C24" s="195"/>
      <c r="D24" s="195"/>
      <c r="E24" s="195"/>
      <c r="F24" s="195"/>
      <c r="G24" s="196"/>
      <c r="H24" s="292">
        <v>44197</v>
      </c>
      <c r="I24" s="196"/>
      <c r="J24" s="10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>
      <c r="A25" s="11">
        <v>6</v>
      </c>
      <c r="B25" s="248" t="s">
        <v>29</v>
      </c>
      <c r="C25" s="195"/>
      <c r="D25" s="195"/>
      <c r="E25" s="195"/>
      <c r="F25" s="195"/>
      <c r="G25" s="196"/>
      <c r="H25" s="284">
        <f>ROUND((H22/220),2)</f>
        <v>6.49</v>
      </c>
      <c r="I25" s="196"/>
      <c r="J25" s="12">
        <f>H22/220</f>
        <v>6.4852272727272728</v>
      </c>
      <c r="K25" s="13" t="s">
        <v>30</v>
      </c>
    </row>
    <row r="26" spans="1:31" ht="12.75" customHeight="1">
      <c r="A26" s="11">
        <v>7</v>
      </c>
      <c r="B26" s="248" t="s">
        <v>31</v>
      </c>
      <c r="C26" s="195"/>
      <c r="D26" s="195"/>
      <c r="E26" s="195"/>
      <c r="F26" s="195"/>
      <c r="G26" s="196"/>
      <c r="H26" s="293">
        <f>ROUND(H25*1.5,2)</f>
        <v>9.74</v>
      </c>
      <c r="I26" s="196"/>
      <c r="J26" s="12">
        <f>J25*1.5</f>
        <v>9.7278409090909097</v>
      </c>
      <c r="K26" s="13" t="s">
        <v>30</v>
      </c>
    </row>
    <row r="27" spans="1:31" ht="24" customHeight="1">
      <c r="A27" s="11">
        <v>8</v>
      </c>
      <c r="B27" s="248" t="s">
        <v>32</v>
      </c>
      <c r="C27" s="195"/>
      <c r="D27" s="195"/>
      <c r="E27" s="195"/>
      <c r="F27" s="195"/>
      <c r="G27" s="196"/>
      <c r="H27" s="284">
        <f>ROUND(H25*0.2,2)*60/52.5</f>
        <v>1.4857142857142858</v>
      </c>
      <c r="I27" s="196"/>
      <c r="J27" s="12">
        <f>(J25*0.2)*60/52.5</f>
        <v>1.4823376623376625</v>
      </c>
      <c r="K27" s="13" t="s">
        <v>30</v>
      </c>
    </row>
    <row r="28" spans="1:31" ht="12.75" customHeight="1">
      <c r="A28" s="11">
        <v>9</v>
      </c>
      <c r="B28" s="248" t="s">
        <v>33</v>
      </c>
      <c r="C28" s="195"/>
      <c r="D28" s="195"/>
      <c r="E28" s="195"/>
      <c r="F28" s="195"/>
      <c r="G28" s="196"/>
      <c r="H28" s="284">
        <f>(60/52.5-1)*H26</f>
        <v>1.3914285714285708</v>
      </c>
      <c r="I28" s="196"/>
      <c r="J28" s="12">
        <f>(60/52.5-1)*J26</f>
        <v>1.3896915584415579</v>
      </c>
      <c r="K28" s="14">
        <f>(H25+H27)*1.5</f>
        <v>11.963571428571429</v>
      </c>
    </row>
    <row r="29" spans="1:31" ht="12.75" customHeight="1">
      <c r="A29" s="11">
        <v>10</v>
      </c>
      <c r="B29" s="285" t="s">
        <v>34</v>
      </c>
      <c r="C29" s="195"/>
      <c r="D29" s="195"/>
      <c r="E29" s="195"/>
      <c r="F29" s="195"/>
      <c r="G29" s="196"/>
      <c r="H29" s="286">
        <v>1</v>
      </c>
      <c r="I29" s="196"/>
      <c r="J29" s="12">
        <v>1</v>
      </c>
      <c r="K29" s="13" t="s">
        <v>30</v>
      </c>
    </row>
    <row r="30" spans="1:31" ht="9" customHeight="1">
      <c r="A30" s="274"/>
      <c r="B30" s="195"/>
      <c r="C30" s="195"/>
      <c r="D30" s="195"/>
      <c r="E30" s="195"/>
      <c r="F30" s="195"/>
      <c r="G30" s="195"/>
      <c r="H30" s="195"/>
      <c r="I30" s="19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0.25" customHeight="1">
      <c r="A31" s="287" t="s">
        <v>35</v>
      </c>
      <c r="B31" s="195"/>
      <c r="C31" s="195"/>
      <c r="D31" s="195"/>
      <c r="E31" s="195"/>
      <c r="F31" s="195"/>
      <c r="G31" s="195"/>
      <c r="H31" s="195"/>
      <c r="I31" s="19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0" customHeight="1">
      <c r="A32" s="15">
        <v>1</v>
      </c>
      <c r="B32" s="252" t="s">
        <v>36</v>
      </c>
      <c r="C32" s="195"/>
      <c r="D32" s="195"/>
      <c r="E32" s="195"/>
      <c r="F32" s="195"/>
      <c r="G32" s="196"/>
      <c r="H32" s="16" t="s">
        <v>37</v>
      </c>
      <c r="I32" s="15" t="s">
        <v>38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9.5" customHeight="1">
      <c r="A33" s="3" t="s">
        <v>4</v>
      </c>
      <c r="B33" s="233" t="s">
        <v>39</v>
      </c>
      <c r="C33" s="195"/>
      <c r="D33" s="195"/>
      <c r="E33" s="195"/>
      <c r="F33" s="195"/>
      <c r="G33" s="195"/>
      <c r="H33" s="196"/>
      <c r="I33" s="18">
        <f>H22*1</f>
        <v>1426.75</v>
      </c>
      <c r="J33" s="19">
        <f>H22</f>
        <v>1426.75</v>
      </c>
      <c r="K33" s="1" t="s">
        <v>30</v>
      </c>
      <c r="L33" s="1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>
      <c r="A34" s="20" t="s">
        <v>6</v>
      </c>
      <c r="B34" s="234" t="s">
        <v>40</v>
      </c>
      <c r="C34" s="195"/>
      <c r="D34" s="195"/>
      <c r="E34" s="195"/>
      <c r="F34" s="195"/>
      <c r="G34" s="195"/>
      <c r="H34" s="196"/>
      <c r="I34" s="21">
        <f>ROUND(1*0.5*22*H27,2)</f>
        <v>16.34</v>
      </c>
      <c r="J34" s="22">
        <f>(H27*0.5*22)</f>
        <v>16.342857142857142</v>
      </c>
      <c r="K34" s="23"/>
      <c r="L34" s="23"/>
      <c r="M34" s="23"/>
      <c r="N34" s="23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1" customHeight="1">
      <c r="A35" s="20" t="s">
        <v>9</v>
      </c>
      <c r="B35" s="234" t="s">
        <v>41</v>
      </c>
      <c r="C35" s="195"/>
      <c r="D35" s="195"/>
      <c r="E35" s="195"/>
      <c r="F35" s="195"/>
      <c r="G35" s="195"/>
      <c r="H35" s="196"/>
      <c r="I35" s="21">
        <f>(1*22*0.5*H28)</f>
        <v>15.305714285714279</v>
      </c>
      <c r="J35" s="24">
        <f>(1*22*0.5*H28)</f>
        <v>15.305714285714279</v>
      </c>
      <c r="K35" s="23"/>
      <c r="L35" s="23"/>
      <c r="M35" s="23"/>
      <c r="N35" s="23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1" customHeight="1">
      <c r="A36" s="25" t="s">
        <v>11</v>
      </c>
      <c r="B36" s="283" t="s">
        <v>42</v>
      </c>
      <c r="C36" s="195"/>
      <c r="D36" s="195"/>
      <c r="E36" s="195"/>
      <c r="F36" s="195"/>
      <c r="G36" s="195"/>
      <c r="H36" s="196"/>
      <c r="I36" s="26">
        <f>(((H25*0.2)*0.2)+((H25*0.5)*0.2)*22)</f>
        <v>14.537600000000001</v>
      </c>
      <c r="J36" s="27">
        <f>(((H25*0.2)*0.2)+((H25*0.5)*0.2)*22)</f>
        <v>14.537600000000001</v>
      </c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>
      <c r="A37" s="3" t="s">
        <v>43</v>
      </c>
      <c r="B37" s="233" t="s">
        <v>44</v>
      </c>
      <c r="C37" s="195"/>
      <c r="D37" s="195"/>
      <c r="E37" s="195"/>
      <c r="F37" s="195"/>
      <c r="G37" s="195"/>
      <c r="H37" s="196"/>
      <c r="I37" s="29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customHeight="1">
      <c r="A38" s="219" t="s">
        <v>45</v>
      </c>
      <c r="B38" s="195"/>
      <c r="C38" s="195"/>
      <c r="D38" s="195"/>
      <c r="E38" s="195"/>
      <c r="F38" s="195"/>
      <c r="G38" s="195"/>
      <c r="H38" s="196"/>
      <c r="I38" s="30">
        <f>SUM(I33:I37)</f>
        <v>1472.9333142857142</v>
      </c>
      <c r="J38" s="1">
        <v>1472.93</v>
      </c>
      <c r="K38" s="1" t="s">
        <v>30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9.75" customHeight="1">
      <c r="A39" s="277"/>
      <c r="B39" s="195"/>
      <c r="C39" s="195"/>
      <c r="D39" s="195"/>
      <c r="E39" s="195"/>
      <c r="F39" s="195"/>
      <c r="G39" s="195"/>
      <c r="H39" s="195"/>
      <c r="I39" s="19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7.75" customHeight="1">
      <c r="A40" s="3" t="s">
        <v>43</v>
      </c>
      <c r="B40" s="233" t="s">
        <v>46</v>
      </c>
      <c r="C40" s="195"/>
      <c r="D40" s="195"/>
      <c r="E40" s="195"/>
      <c r="F40" s="195"/>
      <c r="G40" s="195"/>
      <c r="H40" s="196"/>
      <c r="I40" s="18">
        <v>0</v>
      </c>
      <c r="J40" s="1"/>
      <c r="K40" s="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32.25" customHeight="1">
      <c r="A41" s="219" t="s">
        <v>47</v>
      </c>
      <c r="B41" s="195"/>
      <c r="C41" s="195"/>
      <c r="D41" s="195"/>
      <c r="E41" s="195"/>
      <c r="F41" s="195"/>
      <c r="G41" s="195"/>
      <c r="H41" s="196"/>
      <c r="I41" s="30">
        <f>I40</f>
        <v>0</v>
      </c>
      <c r="J41" s="31">
        <v>0</v>
      </c>
      <c r="K41" s="1" t="s">
        <v>30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271"/>
      <c r="B42" s="195"/>
      <c r="C42" s="195"/>
      <c r="D42" s="195"/>
      <c r="E42" s="195"/>
      <c r="F42" s="195"/>
      <c r="G42" s="195"/>
      <c r="H42" s="195"/>
      <c r="I42" s="19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45" customHeight="1">
      <c r="A43" s="219" t="s">
        <v>48</v>
      </c>
      <c r="B43" s="195"/>
      <c r="C43" s="195"/>
      <c r="D43" s="195"/>
      <c r="E43" s="195"/>
      <c r="F43" s="195"/>
      <c r="G43" s="195"/>
      <c r="H43" s="196"/>
      <c r="I43" s="32">
        <f t="shared" ref="I43:J43" si="0">I38+I41</f>
        <v>1472.9333142857142</v>
      </c>
      <c r="J43" s="31">
        <f t="shared" si="0"/>
        <v>1472.93</v>
      </c>
      <c r="K43" s="1" t="s">
        <v>30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9" customHeight="1">
      <c r="A44" s="277"/>
      <c r="B44" s="195"/>
      <c r="C44" s="195"/>
      <c r="D44" s="195"/>
      <c r="E44" s="195"/>
      <c r="F44" s="195"/>
      <c r="G44" s="195"/>
      <c r="H44" s="195"/>
      <c r="I44" s="19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7.25" customHeight="1">
      <c r="A45" s="232" t="s">
        <v>49</v>
      </c>
      <c r="B45" s="195"/>
      <c r="C45" s="195"/>
      <c r="D45" s="195"/>
      <c r="E45" s="195"/>
      <c r="F45" s="195"/>
      <c r="G45" s="195"/>
      <c r="H45" s="195"/>
      <c r="I45" s="196"/>
      <c r="J45" s="1" t="s">
        <v>50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8.25" customHeight="1">
      <c r="A46" s="278"/>
      <c r="B46" s="195"/>
      <c r="C46" s="195"/>
      <c r="D46" s="195"/>
      <c r="E46" s="195"/>
      <c r="F46" s="195"/>
      <c r="G46" s="195"/>
      <c r="H46" s="195"/>
      <c r="I46" s="19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259" t="s">
        <v>51</v>
      </c>
      <c r="B47" s="195"/>
      <c r="C47" s="195"/>
      <c r="D47" s="195"/>
      <c r="E47" s="195"/>
      <c r="F47" s="195"/>
      <c r="G47" s="195"/>
      <c r="H47" s="195"/>
      <c r="I47" s="19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7" customHeight="1">
      <c r="A48" s="279" t="s">
        <v>52</v>
      </c>
      <c r="B48" s="195"/>
      <c r="C48" s="195"/>
      <c r="D48" s="195"/>
      <c r="E48" s="195"/>
      <c r="F48" s="195"/>
      <c r="G48" s="195"/>
      <c r="H48" s="195"/>
      <c r="I48" s="19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2.5" customHeight="1">
      <c r="A49" s="33" t="s">
        <v>53</v>
      </c>
      <c r="B49" s="280" t="s">
        <v>54</v>
      </c>
      <c r="C49" s="195"/>
      <c r="D49" s="195"/>
      <c r="E49" s="195"/>
      <c r="F49" s="195"/>
      <c r="G49" s="195"/>
      <c r="H49" s="196"/>
      <c r="I49" s="34" t="s">
        <v>55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 customHeight="1">
      <c r="A50" s="33" t="s">
        <v>4</v>
      </c>
      <c r="B50" s="253" t="s">
        <v>56</v>
      </c>
      <c r="C50" s="195"/>
      <c r="D50" s="195"/>
      <c r="E50" s="195"/>
      <c r="F50" s="195"/>
      <c r="G50" s="196"/>
      <c r="H50" s="35">
        <v>8.3299999999999999E-2</v>
      </c>
      <c r="I50" s="36">
        <f>ROUND(I38*H50,2)</f>
        <v>122.7</v>
      </c>
      <c r="J50" s="37">
        <f>I38*H50</f>
        <v>122.69534508</v>
      </c>
      <c r="K50" s="38" t="s">
        <v>30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4" customHeight="1">
      <c r="A51" s="33" t="s">
        <v>6</v>
      </c>
      <c r="B51" s="281" t="s">
        <v>57</v>
      </c>
      <c r="C51" s="195"/>
      <c r="D51" s="195"/>
      <c r="E51" s="195"/>
      <c r="F51" s="195"/>
      <c r="G51" s="196"/>
      <c r="H51" s="39">
        <v>3.0249999999999999E-2</v>
      </c>
      <c r="I51" s="36">
        <f>ROUND(I38*H51,2)</f>
        <v>44.56</v>
      </c>
      <c r="J51" s="37">
        <f>I38*H51</f>
        <v>44.556232757142851</v>
      </c>
      <c r="K51" s="38" t="s">
        <v>30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customHeight="1">
      <c r="A52" s="282" t="s">
        <v>58</v>
      </c>
      <c r="B52" s="195"/>
      <c r="C52" s="195"/>
      <c r="D52" s="195"/>
      <c r="E52" s="195"/>
      <c r="F52" s="195"/>
      <c r="G52" s="195"/>
      <c r="H52" s="196"/>
      <c r="I52" s="40">
        <f>SUM(I50+I51)</f>
        <v>167.26</v>
      </c>
      <c r="J52" s="37">
        <f>J50+J51</f>
        <v>167.25157783714286</v>
      </c>
      <c r="K52" s="38" t="s">
        <v>30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customHeight="1">
      <c r="A53" s="11" t="s">
        <v>9</v>
      </c>
      <c r="B53" s="233" t="s">
        <v>59</v>
      </c>
      <c r="C53" s="195"/>
      <c r="D53" s="195"/>
      <c r="E53" s="195"/>
      <c r="F53" s="195"/>
      <c r="G53" s="195"/>
      <c r="H53" s="196"/>
      <c r="I53" s="41">
        <f>ROUND($H$66*I52,2)</f>
        <v>61.55</v>
      </c>
      <c r="J53" s="37">
        <f>J52*H66</f>
        <v>61.548580644068579</v>
      </c>
      <c r="K53" s="38" t="s">
        <v>30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257" t="s">
        <v>58</v>
      </c>
      <c r="B54" s="195"/>
      <c r="C54" s="195"/>
      <c r="D54" s="195"/>
      <c r="E54" s="195"/>
      <c r="F54" s="195"/>
      <c r="G54" s="195"/>
      <c r="H54" s="196"/>
      <c r="I54" s="42">
        <f>SUM(I52+I53)</f>
        <v>228.81</v>
      </c>
      <c r="J54" s="37">
        <f>J52+J53</f>
        <v>228.80015848121144</v>
      </c>
      <c r="K54" s="38" t="s">
        <v>30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7.5" customHeight="1">
      <c r="A55" s="275"/>
      <c r="B55" s="195"/>
      <c r="C55" s="195"/>
      <c r="D55" s="195"/>
      <c r="E55" s="195"/>
      <c r="F55" s="195"/>
      <c r="G55" s="195"/>
      <c r="H55" s="195"/>
      <c r="I55" s="196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 customHeight="1">
      <c r="A56" s="276" t="s">
        <v>60</v>
      </c>
      <c r="B56" s="195"/>
      <c r="C56" s="195"/>
      <c r="D56" s="195"/>
      <c r="E56" s="195"/>
      <c r="F56" s="195"/>
      <c r="G56" s="195"/>
      <c r="H56" s="195"/>
      <c r="I56" s="19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30" customHeight="1">
      <c r="A57" s="43" t="s">
        <v>61</v>
      </c>
      <c r="B57" s="273" t="s">
        <v>62</v>
      </c>
      <c r="C57" s="195"/>
      <c r="D57" s="195"/>
      <c r="E57" s="195"/>
      <c r="F57" s="195"/>
      <c r="G57" s="196"/>
      <c r="H57" s="44" t="s">
        <v>37</v>
      </c>
      <c r="I57" s="45" t="s">
        <v>63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>
      <c r="A58" s="46" t="s">
        <v>4</v>
      </c>
      <c r="B58" s="233" t="s">
        <v>64</v>
      </c>
      <c r="C58" s="195"/>
      <c r="D58" s="195"/>
      <c r="E58" s="195"/>
      <c r="F58" s="195"/>
      <c r="G58" s="196"/>
      <c r="H58" s="47">
        <v>0.2</v>
      </c>
      <c r="I58" s="40">
        <f>ROUND((I38+I54)*H58,2)</f>
        <v>340.35</v>
      </c>
      <c r="J58" s="31">
        <f>(I38+I54)*H58</f>
        <v>340.34866285714287</v>
      </c>
      <c r="K58" s="38" t="s">
        <v>30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>
      <c r="A59" s="46" t="s">
        <v>6</v>
      </c>
      <c r="B59" s="233" t="s">
        <v>65</v>
      </c>
      <c r="C59" s="195"/>
      <c r="D59" s="195"/>
      <c r="E59" s="195"/>
      <c r="F59" s="195"/>
      <c r="G59" s="196"/>
      <c r="H59" s="47">
        <v>2.5000000000000001E-2</v>
      </c>
      <c r="I59" s="40">
        <f>ROUND((I38+I54)*H59,2)</f>
        <v>42.54</v>
      </c>
      <c r="J59" s="48">
        <f>(I38+I54)*H59</f>
        <v>42.543582857142859</v>
      </c>
      <c r="K59" s="38" t="s">
        <v>30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>
      <c r="A60" s="46" t="s">
        <v>9</v>
      </c>
      <c r="B60" s="276" t="s">
        <v>66</v>
      </c>
      <c r="C60" s="196"/>
      <c r="D60" s="49" t="s">
        <v>67</v>
      </c>
      <c r="E60" s="50">
        <v>0.03</v>
      </c>
      <c r="F60" s="49" t="s">
        <v>68</v>
      </c>
      <c r="G60" s="51">
        <v>1</v>
      </c>
      <c r="H60" s="52">
        <f>ROUND((E60*G60),6)</f>
        <v>0.03</v>
      </c>
      <c r="I60" s="40">
        <f>ROUND((I38+I54)*H60,2)</f>
        <v>51.05</v>
      </c>
      <c r="J60" s="48">
        <f>(I38+I54)*H60</f>
        <v>51.052299428571423</v>
      </c>
      <c r="K60" s="38" t="s">
        <v>30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>
      <c r="A61" s="46" t="s">
        <v>11</v>
      </c>
      <c r="B61" s="233" t="s">
        <v>69</v>
      </c>
      <c r="C61" s="195"/>
      <c r="D61" s="195"/>
      <c r="E61" s="195"/>
      <c r="F61" s="195"/>
      <c r="G61" s="196"/>
      <c r="H61" s="47">
        <v>1.4999999999999999E-2</v>
      </c>
      <c r="I61" s="40">
        <f>ROUND((I38+I54)*H61,2)</f>
        <v>25.53</v>
      </c>
      <c r="J61" s="48">
        <f>(I38+I54)*H61</f>
        <v>25.526149714285712</v>
      </c>
      <c r="K61" s="38" t="s">
        <v>30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>
      <c r="A62" s="46" t="s">
        <v>43</v>
      </c>
      <c r="B62" s="233" t="s">
        <v>70</v>
      </c>
      <c r="C62" s="195"/>
      <c r="D62" s="195"/>
      <c r="E62" s="195"/>
      <c r="F62" s="195"/>
      <c r="G62" s="196"/>
      <c r="H62" s="47">
        <v>0.01</v>
      </c>
      <c r="I62" s="40">
        <f>ROUND((I38+I54)*H62,2)</f>
        <v>17.02</v>
      </c>
      <c r="J62" s="48">
        <f>(I38+I54)*H62</f>
        <v>17.017433142857143</v>
      </c>
      <c r="K62" s="38" t="s">
        <v>30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6" t="s">
        <v>71</v>
      </c>
      <c r="B63" s="233" t="s">
        <v>72</v>
      </c>
      <c r="C63" s="195"/>
      <c r="D63" s="195"/>
      <c r="E63" s="195"/>
      <c r="F63" s="195"/>
      <c r="G63" s="196"/>
      <c r="H63" s="47">
        <v>6.0000000000000001E-3</v>
      </c>
      <c r="I63" s="40">
        <f>ROUND((I38+I54)*H63,2)</f>
        <v>10.210000000000001</v>
      </c>
      <c r="J63" s="48">
        <f>(I38+I54)*H63</f>
        <v>10.210459885714286</v>
      </c>
      <c r="K63" s="38" t="s">
        <v>30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>
      <c r="A64" s="46" t="s">
        <v>73</v>
      </c>
      <c r="B64" s="233" t="s">
        <v>74</v>
      </c>
      <c r="C64" s="195"/>
      <c r="D64" s="195"/>
      <c r="E64" s="195"/>
      <c r="F64" s="195"/>
      <c r="G64" s="196"/>
      <c r="H64" s="47">
        <v>2E-3</v>
      </c>
      <c r="I64" s="40">
        <f>ROUND((I38+I54)*H64,2)</f>
        <v>3.4</v>
      </c>
      <c r="J64" s="48">
        <f>(I38+I54)*H64</f>
        <v>3.4034866285714283</v>
      </c>
      <c r="K64" s="38" t="s">
        <v>30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>
      <c r="A65" s="46" t="s">
        <v>75</v>
      </c>
      <c r="B65" s="233" t="s">
        <v>76</v>
      </c>
      <c r="C65" s="195"/>
      <c r="D65" s="195"/>
      <c r="E65" s="195"/>
      <c r="F65" s="195"/>
      <c r="G65" s="196"/>
      <c r="H65" s="47">
        <v>0.08</v>
      </c>
      <c r="I65" s="40">
        <f>ROUND((I38+I54)*H65,2)</f>
        <v>136.13999999999999</v>
      </c>
      <c r="J65" s="48">
        <f>(I38+I54)*H65</f>
        <v>136.13946514285715</v>
      </c>
      <c r="K65" s="38" t="s">
        <v>30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207" t="s">
        <v>58</v>
      </c>
      <c r="B66" s="195"/>
      <c r="C66" s="195"/>
      <c r="D66" s="195"/>
      <c r="E66" s="195"/>
      <c r="F66" s="195"/>
      <c r="G66" s="196"/>
      <c r="H66" s="53">
        <f t="shared" ref="H66:J66" si="1">SUM(H58:H65)</f>
        <v>0.36800000000000005</v>
      </c>
      <c r="I66" s="42">
        <f t="shared" si="1"/>
        <v>626.24</v>
      </c>
      <c r="J66" s="31">
        <f t="shared" si="1"/>
        <v>626.24153965714288</v>
      </c>
      <c r="K66" s="38" t="s">
        <v>30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8.25" customHeight="1">
      <c r="A67" s="54"/>
      <c r="B67" s="55"/>
      <c r="C67" s="55"/>
      <c r="D67" s="55"/>
      <c r="E67" s="55"/>
      <c r="F67" s="55"/>
      <c r="G67" s="55"/>
      <c r="H67" s="56"/>
      <c r="I67" s="5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35.25" customHeight="1">
      <c r="A68" s="266" t="s">
        <v>77</v>
      </c>
      <c r="B68" s="195"/>
      <c r="C68" s="195"/>
      <c r="D68" s="195"/>
      <c r="E68" s="195"/>
      <c r="F68" s="195"/>
      <c r="G68" s="195"/>
      <c r="H68" s="195"/>
      <c r="I68" s="19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9.75" customHeight="1">
      <c r="A69" s="274"/>
      <c r="B69" s="195"/>
      <c r="C69" s="195"/>
      <c r="D69" s="195"/>
      <c r="E69" s="195"/>
      <c r="F69" s="195"/>
      <c r="G69" s="195"/>
      <c r="H69" s="195"/>
      <c r="I69" s="19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 customHeight="1">
      <c r="A70" s="249" t="s">
        <v>78</v>
      </c>
      <c r="B70" s="195"/>
      <c r="C70" s="195"/>
      <c r="D70" s="195"/>
      <c r="E70" s="195"/>
      <c r="F70" s="195"/>
      <c r="G70" s="195"/>
      <c r="H70" s="195"/>
      <c r="I70" s="19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7" customHeight="1">
      <c r="A71" s="58" t="s">
        <v>79</v>
      </c>
      <c r="B71" s="252" t="s">
        <v>80</v>
      </c>
      <c r="C71" s="195"/>
      <c r="D71" s="195"/>
      <c r="E71" s="195"/>
      <c r="F71" s="195"/>
      <c r="G71" s="195"/>
      <c r="H71" s="196"/>
      <c r="I71" s="45" t="s">
        <v>55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>
      <c r="A72" s="59" t="s">
        <v>4</v>
      </c>
      <c r="B72" s="233" t="s">
        <v>81</v>
      </c>
      <c r="C72" s="195"/>
      <c r="D72" s="195"/>
      <c r="E72" s="195"/>
      <c r="F72" s="195"/>
      <c r="G72" s="195"/>
      <c r="H72" s="195"/>
      <c r="I72" s="40">
        <f>IF(ROUND((H73*H75*H74)-(I33*H76),2)&lt;0,0,ROUND((H73*H75*H74)-(I33*H76),2))</f>
        <v>134.4</v>
      </c>
      <c r="J72" s="31">
        <f>(H73*H74*H75)-(I33*H76)</f>
        <v>134.39500000000001</v>
      </c>
      <c r="K72" s="1" t="s">
        <v>30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>
      <c r="A73" s="60"/>
      <c r="B73" s="234" t="s">
        <v>82</v>
      </c>
      <c r="C73" s="195"/>
      <c r="D73" s="195"/>
      <c r="E73" s="195"/>
      <c r="F73" s="195"/>
      <c r="G73" s="195"/>
      <c r="H73" s="61">
        <v>5</v>
      </c>
      <c r="I73" s="62" t="s">
        <v>83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>
      <c r="A74" s="59"/>
      <c r="B74" s="233" t="s">
        <v>84</v>
      </c>
      <c r="C74" s="195"/>
      <c r="D74" s="195"/>
      <c r="E74" s="195"/>
      <c r="F74" s="195"/>
      <c r="G74" s="196"/>
      <c r="H74" s="63">
        <v>2</v>
      </c>
      <c r="I74" s="64" t="s">
        <v>83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>
      <c r="A75" s="59"/>
      <c r="B75" s="248" t="s">
        <v>85</v>
      </c>
      <c r="C75" s="195"/>
      <c r="D75" s="195"/>
      <c r="E75" s="195"/>
      <c r="F75" s="195"/>
      <c r="G75" s="196"/>
      <c r="H75" s="65">
        <v>22</v>
      </c>
      <c r="I75" s="6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>
      <c r="A76" s="59"/>
      <c r="B76" s="248" t="s">
        <v>86</v>
      </c>
      <c r="C76" s="195"/>
      <c r="D76" s="195"/>
      <c r="E76" s="195"/>
      <c r="F76" s="195"/>
      <c r="G76" s="196"/>
      <c r="H76" s="66">
        <v>0.06</v>
      </c>
      <c r="I76" s="6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25" customHeight="1">
      <c r="A77" s="59" t="s">
        <v>6</v>
      </c>
      <c r="B77" s="233" t="s">
        <v>87</v>
      </c>
      <c r="C77" s="195"/>
      <c r="D77" s="195"/>
      <c r="E77" s="195"/>
      <c r="F77" s="195"/>
      <c r="G77" s="195"/>
      <c r="H77" s="195"/>
      <c r="I77" s="40">
        <f>ROUND(H79*H78*(1-H80),2)*1+ROUND(21.726*6*(1-H80),2)*0</f>
        <v>324.32</v>
      </c>
      <c r="J77" s="31">
        <f>(H78*H79)*0.81</f>
        <v>324.32400000000001</v>
      </c>
      <c r="K77" s="1" t="s">
        <v>30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60"/>
      <c r="B78" s="248" t="s">
        <v>88</v>
      </c>
      <c r="C78" s="195"/>
      <c r="D78" s="195"/>
      <c r="E78" s="195"/>
      <c r="F78" s="195"/>
      <c r="G78" s="195"/>
      <c r="H78" s="67">
        <v>18.2</v>
      </c>
      <c r="I78" s="62" t="s">
        <v>83</v>
      </c>
      <c r="J78" s="1" t="s">
        <v>89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59"/>
      <c r="B79" s="233" t="s">
        <v>90</v>
      </c>
      <c r="C79" s="195"/>
      <c r="D79" s="195"/>
      <c r="E79" s="195"/>
      <c r="F79" s="195"/>
      <c r="G79" s="195"/>
      <c r="H79" s="65">
        <v>22</v>
      </c>
      <c r="I79" s="6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60"/>
      <c r="B80" s="248" t="s">
        <v>91</v>
      </c>
      <c r="C80" s="195"/>
      <c r="D80" s="195"/>
      <c r="E80" s="195"/>
      <c r="F80" s="195"/>
      <c r="G80" s="196"/>
      <c r="H80" s="66">
        <v>0.19</v>
      </c>
      <c r="I80" s="62"/>
      <c r="J80" s="1" t="s">
        <v>92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60" t="s">
        <v>9</v>
      </c>
      <c r="B81" s="234" t="s">
        <v>93</v>
      </c>
      <c r="C81" s="195"/>
      <c r="D81" s="195"/>
      <c r="E81" s="195"/>
      <c r="F81" s="195"/>
      <c r="G81" s="195"/>
      <c r="H81" s="195"/>
      <c r="I81" s="68">
        <v>15.62</v>
      </c>
      <c r="J81" s="1" t="s">
        <v>94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4" customHeight="1">
      <c r="A82" s="60" t="s">
        <v>11</v>
      </c>
      <c r="B82" s="234" t="s">
        <v>95</v>
      </c>
      <c r="C82" s="195"/>
      <c r="D82" s="195"/>
      <c r="E82" s="195"/>
      <c r="F82" s="195"/>
      <c r="G82" s="195"/>
      <c r="H82" s="195"/>
      <c r="I82" s="68">
        <v>0</v>
      </c>
      <c r="J82" s="69"/>
      <c r="K82" s="70"/>
      <c r="L82" s="70"/>
      <c r="M82" s="70"/>
      <c r="N82" s="7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>
      <c r="A83" s="60" t="s">
        <v>43</v>
      </c>
      <c r="B83" s="234" t="s">
        <v>96</v>
      </c>
      <c r="C83" s="195"/>
      <c r="D83" s="195"/>
      <c r="E83" s="195"/>
      <c r="F83" s="195"/>
      <c r="G83" s="195"/>
      <c r="H83" s="196"/>
      <c r="I83" s="68">
        <v>0</v>
      </c>
      <c r="J83" s="7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>
      <c r="A84" s="60" t="s">
        <v>71</v>
      </c>
      <c r="B84" s="270" t="s">
        <v>97</v>
      </c>
      <c r="C84" s="195"/>
      <c r="D84" s="195"/>
      <c r="E84" s="195"/>
      <c r="F84" s="195"/>
      <c r="G84" s="195"/>
      <c r="H84" s="195"/>
      <c r="I84" s="72">
        <v>0</v>
      </c>
      <c r="J84" s="7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" customHeight="1">
      <c r="A85" s="73"/>
      <c r="B85" s="207" t="s">
        <v>58</v>
      </c>
      <c r="C85" s="195"/>
      <c r="D85" s="195"/>
      <c r="E85" s="195"/>
      <c r="F85" s="195"/>
      <c r="G85" s="195"/>
      <c r="H85" s="216"/>
      <c r="I85" s="42">
        <f>SUM(I72:I84)</f>
        <v>474.34000000000003</v>
      </c>
      <c r="J85" s="31">
        <f>J72+J77+I81</f>
        <v>474.33900000000006</v>
      </c>
      <c r="K85" s="1" t="s">
        <v>30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8.25" customHeight="1">
      <c r="A86" s="271"/>
      <c r="B86" s="195"/>
      <c r="C86" s="195"/>
      <c r="D86" s="195"/>
      <c r="E86" s="195"/>
      <c r="F86" s="195"/>
      <c r="G86" s="195"/>
      <c r="H86" s="195"/>
      <c r="I86" s="19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25" customHeight="1">
      <c r="A87" s="272" t="s">
        <v>98</v>
      </c>
      <c r="B87" s="195"/>
      <c r="C87" s="195"/>
      <c r="D87" s="195"/>
      <c r="E87" s="195"/>
      <c r="F87" s="195"/>
      <c r="G87" s="195"/>
      <c r="H87" s="195"/>
      <c r="I87" s="19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74">
        <v>2</v>
      </c>
      <c r="B88" s="273" t="s">
        <v>99</v>
      </c>
      <c r="C88" s="195"/>
      <c r="D88" s="195"/>
      <c r="E88" s="195"/>
      <c r="F88" s="195"/>
      <c r="G88" s="195"/>
      <c r="H88" s="196"/>
      <c r="I88" s="74" t="s">
        <v>55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25" customHeight="1">
      <c r="A89" s="9" t="s">
        <v>53</v>
      </c>
      <c r="B89" s="253" t="s">
        <v>100</v>
      </c>
      <c r="C89" s="195"/>
      <c r="D89" s="195"/>
      <c r="E89" s="195"/>
      <c r="F89" s="195"/>
      <c r="G89" s="195"/>
      <c r="H89" s="196"/>
      <c r="I89" s="75">
        <f t="shared" ref="I89:J89" si="2">I54</f>
        <v>228.81</v>
      </c>
      <c r="J89" s="76">
        <f t="shared" si="2"/>
        <v>228.80015848121144</v>
      </c>
      <c r="K89" s="1" t="s">
        <v>30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25" customHeight="1">
      <c r="A90" s="9" t="s">
        <v>61</v>
      </c>
      <c r="B90" s="253" t="s">
        <v>62</v>
      </c>
      <c r="C90" s="195"/>
      <c r="D90" s="195"/>
      <c r="E90" s="195"/>
      <c r="F90" s="195"/>
      <c r="G90" s="195"/>
      <c r="H90" s="196"/>
      <c r="I90" s="75">
        <f t="shared" ref="I90:J90" si="3">I66</f>
        <v>626.24</v>
      </c>
      <c r="J90" s="77">
        <f t="shared" si="3"/>
        <v>626.24153965714288</v>
      </c>
      <c r="K90" s="1" t="s">
        <v>30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 customHeight="1">
      <c r="A91" s="9" t="s">
        <v>79</v>
      </c>
      <c r="B91" s="253" t="s">
        <v>80</v>
      </c>
      <c r="C91" s="195"/>
      <c r="D91" s="195"/>
      <c r="E91" s="195"/>
      <c r="F91" s="195"/>
      <c r="G91" s="195"/>
      <c r="H91" s="196"/>
      <c r="I91" s="75">
        <f t="shared" ref="I91:J91" si="4">I85</f>
        <v>474.34000000000003</v>
      </c>
      <c r="J91" s="77">
        <f t="shared" si="4"/>
        <v>474.33900000000006</v>
      </c>
      <c r="K91" s="1" t="s">
        <v>30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 customHeight="1">
      <c r="A92" s="262" t="s">
        <v>58</v>
      </c>
      <c r="B92" s="195"/>
      <c r="C92" s="195"/>
      <c r="D92" s="195"/>
      <c r="E92" s="195"/>
      <c r="F92" s="195"/>
      <c r="G92" s="195"/>
      <c r="H92" s="196"/>
      <c r="I92" s="78">
        <f>SUM(I89+I90+I91)</f>
        <v>1329.3899999999999</v>
      </c>
      <c r="J92" s="76">
        <f>SUM(J89:J91)</f>
        <v>1329.3806981383545</v>
      </c>
      <c r="K92" s="1" t="s">
        <v>30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8.25" customHeight="1">
      <c r="A93" s="269"/>
      <c r="B93" s="195"/>
      <c r="C93" s="195"/>
      <c r="D93" s="195"/>
      <c r="E93" s="195"/>
      <c r="F93" s="195"/>
      <c r="G93" s="195"/>
      <c r="H93" s="195"/>
      <c r="I93" s="19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0.25" customHeight="1">
      <c r="A94" s="246" t="s">
        <v>101</v>
      </c>
      <c r="B94" s="195"/>
      <c r="C94" s="195"/>
      <c r="D94" s="195"/>
      <c r="E94" s="195"/>
      <c r="F94" s="195"/>
      <c r="G94" s="195"/>
      <c r="H94" s="195"/>
      <c r="I94" s="19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 customHeight="1">
      <c r="A95" s="58">
        <v>3</v>
      </c>
      <c r="B95" s="247" t="s">
        <v>102</v>
      </c>
      <c r="C95" s="195"/>
      <c r="D95" s="195"/>
      <c r="E95" s="195"/>
      <c r="F95" s="195"/>
      <c r="G95" s="195"/>
      <c r="H95" s="196"/>
      <c r="I95" s="58" t="s">
        <v>55</v>
      </c>
      <c r="J95" s="1" t="s">
        <v>103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38.25" customHeight="1">
      <c r="A96" s="59" t="s">
        <v>4</v>
      </c>
      <c r="B96" s="233" t="s">
        <v>104</v>
      </c>
      <c r="C96" s="195"/>
      <c r="D96" s="195"/>
      <c r="E96" s="195"/>
      <c r="F96" s="195"/>
      <c r="G96" s="195"/>
      <c r="H96" s="196"/>
      <c r="I96" s="40">
        <f>ROUND(((I38/12)+($I$50/12)+(I38/12/12)+($I$51/12))*(30/30)*0.05,2)</f>
        <v>7.35</v>
      </c>
      <c r="J96" s="79">
        <f>ROUND(((I38/12)+($I$50/12)+(I38/12/12)+($I$51/12))*(30/30)*5%,2)</f>
        <v>7.35</v>
      </c>
      <c r="K96" s="80" t="s">
        <v>30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25" customHeight="1">
      <c r="A97" s="60" t="s">
        <v>6</v>
      </c>
      <c r="B97" s="270" t="s">
        <v>105</v>
      </c>
      <c r="C97" s="195"/>
      <c r="D97" s="195"/>
      <c r="E97" s="195"/>
      <c r="F97" s="195"/>
      <c r="G97" s="195"/>
      <c r="H97" s="196"/>
      <c r="I97" s="81">
        <f>ROUND(H65*I96,2)</f>
        <v>0.59</v>
      </c>
      <c r="J97" s="79">
        <f>J96*H65</f>
        <v>0.58799999999999997</v>
      </c>
      <c r="K97" s="80" t="s">
        <v>30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25" customHeight="1">
      <c r="A98" s="60" t="s">
        <v>9</v>
      </c>
      <c r="B98" s="270" t="s">
        <v>106</v>
      </c>
      <c r="C98" s="195"/>
      <c r="D98" s="195"/>
      <c r="E98" s="195"/>
      <c r="F98" s="195"/>
      <c r="G98" s="195"/>
      <c r="H98" s="196"/>
      <c r="I98" s="82">
        <f>(40%*8%*(I38+I50+I51+I110)*5%)</f>
        <v>2.838181302857143</v>
      </c>
      <c r="J98" s="83">
        <f>(40%*8%*(I38+I50+I51+I110)*5%)</f>
        <v>2.838181302857143</v>
      </c>
      <c r="K98" s="80" t="s">
        <v>30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>
      <c r="A99" s="59" t="s">
        <v>11</v>
      </c>
      <c r="B99" s="233" t="s">
        <v>107</v>
      </c>
      <c r="C99" s="195"/>
      <c r="D99" s="195"/>
      <c r="E99" s="195"/>
      <c r="F99" s="195"/>
      <c r="G99" s="195"/>
      <c r="H99" s="196"/>
      <c r="I99" s="84">
        <f>ROUND(((7/30)/$H$11)*I38*1,2)</f>
        <v>17.18</v>
      </c>
      <c r="J99" s="79">
        <f>((I38/30)*7/20)</f>
        <v>17.184221999999998</v>
      </c>
      <c r="K99" s="80" t="s">
        <v>30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>
      <c r="A100" s="59" t="s">
        <v>43</v>
      </c>
      <c r="B100" s="250" t="s">
        <v>108</v>
      </c>
      <c r="C100" s="195"/>
      <c r="D100" s="195"/>
      <c r="E100" s="195"/>
      <c r="F100" s="195"/>
      <c r="G100" s="195"/>
      <c r="H100" s="196"/>
      <c r="I100" s="40">
        <f>ROUND($H$66*I99,2)</f>
        <v>6.32</v>
      </c>
      <c r="J100" s="79">
        <f>J99*H66</f>
        <v>6.3237936960000001</v>
      </c>
      <c r="K100" s="80" t="s">
        <v>30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40.5" customHeight="1">
      <c r="A101" s="60" t="s">
        <v>71</v>
      </c>
      <c r="B101" s="234" t="s">
        <v>109</v>
      </c>
      <c r="C101" s="195"/>
      <c r="D101" s="195"/>
      <c r="E101" s="195"/>
      <c r="F101" s="195"/>
      <c r="G101" s="196"/>
      <c r="H101" s="85">
        <v>0.04</v>
      </c>
      <c r="I101" s="68">
        <f t="shared" ref="I101:J101" si="5">(40%*8%*(I38+I50+I51+I110)*100%)</f>
        <v>56.763626057142858</v>
      </c>
      <c r="J101" s="86">
        <f t="shared" si="5"/>
        <v>56.763199210788578</v>
      </c>
      <c r="K101" s="80" t="s">
        <v>30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207" t="s">
        <v>110</v>
      </c>
      <c r="B102" s="195"/>
      <c r="C102" s="195"/>
      <c r="D102" s="195"/>
      <c r="E102" s="195"/>
      <c r="F102" s="195"/>
      <c r="G102" s="195"/>
      <c r="H102" s="196"/>
      <c r="I102" s="42">
        <f t="shared" ref="I102:J102" si="6">SUM(I96:I101)</f>
        <v>91.041807360000007</v>
      </c>
      <c r="J102" s="79">
        <f t="shared" si="6"/>
        <v>91.047396209645711</v>
      </c>
      <c r="K102" s="80" t="s">
        <v>30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9" customHeight="1">
      <c r="A103" s="208"/>
      <c r="B103" s="195"/>
      <c r="C103" s="195"/>
      <c r="D103" s="195"/>
      <c r="E103" s="195"/>
      <c r="F103" s="195"/>
      <c r="G103" s="195"/>
      <c r="H103" s="195"/>
      <c r="I103" s="19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4" customHeight="1">
      <c r="A104" s="251" t="s">
        <v>111</v>
      </c>
      <c r="B104" s="195"/>
      <c r="C104" s="195"/>
      <c r="D104" s="195"/>
      <c r="E104" s="195"/>
      <c r="F104" s="195"/>
      <c r="G104" s="195"/>
      <c r="H104" s="195"/>
      <c r="I104" s="19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" customHeight="1">
      <c r="A105" s="266" t="s">
        <v>112</v>
      </c>
      <c r="B105" s="195"/>
      <c r="C105" s="195"/>
      <c r="D105" s="195"/>
      <c r="E105" s="195"/>
      <c r="F105" s="195"/>
      <c r="G105" s="195"/>
      <c r="H105" s="195"/>
      <c r="I105" s="19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78" customHeight="1">
      <c r="A106" s="267" t="s">
        <v>113</v>
      </c>
      <c r="B106" s="195"/>
      <c r="C106" s="195"/>
      <c r="D106" s="195"/>
      <c r="E106" s="195"/>
      <c r="F106" s="195"/>
      <c r="G106" s="195"/>
      <c r="H106" s="196"/>
      <c r="I106" s="87">
        <f t="shared" ref="I106:J106" si="7">I38+I50+I51+I110</f>
        <v>1773.8633142857143</v>
      </c>
      <c r="J106" s="88">
        <f t="shared" si="7"/>
        <v>1773.849975337143</v>
      </c>
      <c r="K106" s="80" t="s">
        <v>30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7.5" customHeight="1">
      <c r="A107" s="268"/>
      <c r="B107" s="195"/>
      <c r="C107" s="195"/>
      <c r="D107" s="195"/>
      <c r="E107" s="195"/>
      <c r="F107" s="195"/>
      <c r="G107" s="195"/>
      <c r="H107" s="195"/>
      <c r="I107" s="19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 customHeight="1">
      <c r="A108" s="218" t="s">
        <v>114</v>
      </c>
      <c r="B108" s="195"/>
      <c r="C108" s="195"/>
      <c r="D108" s="195"/>
      <c r="E108" s="195"/>
      <c r="F108" s="195"/>
      <c r="G108" s="195"/>
      <c r="H108" s="195"/>
      <c r="I108" s="19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4" customHeight="1">
      <c r="A109" s="89" t="s">
        <v>115</v>
      </c>
      <c r="B109" s="247" t="s">
        <v>116</v>
      </c>
      <c r="C109" s="195"/>
      <c r="D109" s="195"/>
      <c r="E109" s="195"/>
      <c r="F109" s="195"/>
      <c r="G109" s="195"/>
      <c r="H109" s="196"/>
      <c r="I109" s="89" t="s">
        <v>55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31.5" customHeight="1">
      <c r="A110" s="90" t="s">
        <v>4</v>
      </c>
      <c r="B110" s="253" t="s">
        <v>117</v>
      </c>
      <c r="C110" s="195"/>
      <c r="D110" s="195"/>
      <c r="E110" s="195"/>
      <c r="F110" s="195"/>
      <c r="G110" s="196"/>
      <c r="H110" s="91">
        <v>9.0749999999999997E-2</v>
      </c>
      <c r="I110" s="92">
        <f>ROUND(I38*H110,2)</f>
        <v>133.66999999999999</v>
      </c>
      <c r="J110" s="88">
        <f>J38*H110</f>
        <v>133.6683975</v>
      </c>
      <c r="K110" s="80" t="s">
        <v>30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>
      <c r="A111" s="59" t="s">
        <v>6</v>
      </c>
      <c r="B111" s="233" t="s">
        <v>118</v>
      </c>
      <c r="C111" s="195"/>
      <c r="D111" s="195"/>
      <c r="E111" s="195"/>
      <c r="F111" s="195"/>
      <c r="G111" s="195"/>
      <c r="H111" s="196"/>
      <c r="I111" s="40">
        <f>ROUND((2.96/30)/12*($I$106),2)</f>
        <v>14.59</v>
      </c>
      <c r="J111" s="88">
        <f>((I106/30)*2.96)/12</f>
        <v>14.585098361904762</v>
      </c>
      <c r="K111" s="80" t="s">
        <v>30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>
      <c r="A112" s="59" t="s">
        <v>9</v>
      </c>
      <c r="B112" s="233" t="s">
        <v>119</v>
      </c>
      <c r="C112" s="195"/>
      <c r="D112" s="195"/>
      <c r="E112" s="195"/>
      <c r="F112" s="195"/>
      <c r="G112" s="195"/>
      <c r="H112" s="196"/>
      <c r="I112" s="40">
        <f>ROUND((5/30)/12*0.015*($I$106),2)</f>
        <v>0.37</v>
      </c>
      <c r="J112" s="93">
        <f>(((5/30)/12)*0.015)*J106</f>
        <v>0.36955207819523811</v>
      </c>
      <c r="K112" s="80" t="s">
        <v>30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>
      <c r="A113" s="59" t="s">
        <v>11</v>
      </c>
      <c r="B113" s="233" t="s">
        <v>120</v>
      </c>
      <c r="C113" s="195"/>
      <c r="D113" s="195"/>
      <c r="E113" s="195"/>
      <c r="F113" s="195"/>
      <c r="G113" s="195"/>
      <c r="H113" s="196"/>
      <c r="I113" s="40">
        <f>ROUND(((15/30)/12)*0.0078*($I$106),2)</f>
        <v>0.57999999999999996</v>
      </c>
      <c r="J113" s="93">
        <f>(((15/30)/12)*0.0078)*J106</f>
        <v>0.57650124198457142</v>
      </c>
      <c r="K113" s="80" t="s">
        <v>30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>
      <c r="A114" s="59" t="s">
        <v>43</v>
      </c>
      <c r="B114" s="233" t="s">
        <v>121</v>
      </c>
      <c r="C114" s="195"/>
      <c r="D114" s="195"/>
      <c r="E114" s="195"/>
      <c r="F114" s="195"/>
      <c r="G114" s="195"/>
      <c r="H114" s="196"/>
      <c r="I114" s="40">
        <f>ROUND((1+1/3)/12*(4/12)*0.02*(I38),2)</f>
        <v>1.0900000000000001</v>
      </c>
      <c r="J114" s="93">
        <f>((1+1/3)/12)*(4/12)*0.02*I38</f>
        <v>1.0910617142857142</v>
      </c>
      <c r="K114" s="80" t="s">
        <v>30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>
      <c r="A115" s="59" t="s">
        <v>71</v>
      </c>
      <c r="B115" s="233" t="s">
        <v>122</v>
      </c>
      <c r="C115" s="195"/>
      <c r="D115" s="195"/>
      <c r="E115" s="195"/>
      <c r="F115" s="195"/>
      <c r="G115" s="195"/>
      <c r="H115" s="196"/>
      <c r="I115" s="40">
        <f>ROUND(((3/30)/12)*($I$106),2)</f>
        <v>14.78</v>
      </c>
      <c r="J115" s="93">
        <f>(((3/30)/12)*J106)</f>
        <v>14.782083127809525</v>
      </c>
      <c r="K115" s="80" t="s">
        <v>30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207" t="s">
        <v>58</v>
      </c>
      <c r="B116" s="195"/>
      <c r="C116" s="195"/>
      <c r="D116" s="195"/>
      <c r="E116" s="195"/>
      <c r="F116" s="195"/>
      <c r="G116" s="195"/>
      <c r="H116" s="196"/>
      <c r="I116" s="42">
        <f t="shared" ref="I116:J116" si="8">SUM(I110:I115)</f>
        <v>165.08</v>
      </c>
      <c r="J116" s="93">
        <f t="shared" si="8"/>
        <v>165.07269402417978</v>
      </c>
      <c r="K116" s="80" t="s">
        <v>30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>
      <c r="A117" s="11" t="s">
        <v>73</v>
      </c>
      <c r="B117" s="263" t="s">
        <v>123</v>
      </c>
      <c r="C117" s="195"/>
      <c r="D117" s="195"/>
      <c r="E117" s="195"/>
      <c r="F117" s="195"/>
      <c r="G117" s="195"/>
      <c r="H117" s="196"/>
      <c r="I117" s="41">
        <f>ROUND(H66*I116,2)</f>
        <v>60.75</v>
      </c>
      <c r="J117" s="93">
        <f>J116*0.368</f>
        <v>60.746751400898155</v>
      </c>
      <c r="K117" s="80" t="s">
        <v>30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207" t="s">
        <v>58</v>
      </c>
      <c r="B118" s="195"/>
      <c r="C118" s="195"/>
      <c r="D118" s="195"/>
      <c r="E118" s="195"/>
      <c r="F118" s="195"/>
      <c r="G118" s="195"/>
      <c r="H118" s="196"/>
      <c r="I118" s="42">
        <f>SUM(I116:I117)</f>
        <v>225.83</v>
      </c>
      <c r="J118" s="93">
        <f>J116+J117</f>
        <v>225.81944542507793</v>
      </c>
      <c r="K118" s="80" t="s">
        <v>30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9" customHeight="1">
      <c r="A119" s="264"/>
      <c r="B119" s="195"/>
      <c r="C119" s="195"/>
      <c r="D119" s="195"/>
      <c r="E119" s="195"/>
      <c r="F119" s="195"/>
      <c r="G119" s="195"/>
      <c r="H119" s="195"/>
      <c r="I119" s="19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249" t="s">
        <v>124</v>
      </c>
      <c r="B120" s="195"/>
      <c r="C120" s="195"/>
      <c r="D120" s="195"/>
      <c r="E120" s="195"/>
      <c r="F120" s="195"/>
      <c r="G120" s="195"/>
      <c r="H120" s="195"/>
      <c r="I120" s="19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94" t="s">
        <v>125</v>
      </c>
      <c r="B121" s="260" t="s">
        <v>126</v>
      </c>
      <c r="C121" s="195"/>
      <c r="D121" s="195"/>
      <c r="E121" s="195"/>
      <c r="F121" s="195"/>
      <c r="G121" s="195"/>
      <c r="H121" s="196"/>
      <c r="I121" s="95" t="s">
        <v>55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>
      <c r="A122" s="96" t="s">
        <v>4</v>
      </c>
      <c r="B122" s="253" t="s">
        <v>127</v>
      </c>
      <c r="C122" s="195"/>
      <c r="D122" s="195"/>
      <c r="E122" s="195"/>
      <c r="F122" s="195"/>
      <c r="G122" s="195"/>
      <c r="H122" s="196"/>
      <c r="I122" s="97">
        <f>ROUND(H25*1.3*0.5*1.1428571*30*1.2*1.2,2)*0</f>
        <v>0</v>
      </c>
      <c r="J122" s="80" t="s">
        <v>30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>
      <c r="A123" s="3" t="s">
        <v>6</v>
      </c>
      <c r="B123" s="233" t="s">
        <v>128</v>
      </c>
      <c r="C123" s="195"/>
      <c r="D123" s="195"/>
      <c r="E123" s="195"/>
      <c r="F123" s="195"/>
      <c r="G123" s="195"/>
      <c r="H123" s="196"/>
      <c r="I123" s="18">
        <f>ROUND(H28*H29*1.3*15,2)*0</f>
        <v>0</v>
      </c>
      <c r="J123" s="80" t="s">
        <v>30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>
      <c r="A124" s="3"/>
      <c r="B124" s="265" t="s">
        <v>129</v>
      </c>
      <c r="C124" s="195"/>
      <c r="D124" s="195"/>
      <c r="E124" s="195"/>
      <c r="F124" s="195"/>
      <c r="G124" s="195"/>
      <c r="H124" s="196"/>
      <c r="I124" s="18">
        <f>I122+I123</f>
        <v>0</v>
      </c>
      <c r="J124" s="80" t="s">
        <v>30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>
      <c r="A125" s="96" t="s">
        <v>9</v>
      </c>
      <c r="B125" s="253" t="s">
        <v>130</v>
      </c>
      <c r="C125" s="195"/>
      <c r="D125" s="195"/>
      <c r="E125" s="195"/>
      <c r="F125" s="195"/>
      <c r="G125" s="195"/>
      <c r="H125" s="196"/>
      <c r="I125" s="97">
        <f>ROUND(I124/12,2)+ROUND(I124/3/12,2)</f>
        <v>0</v>
      </c>
      <c r="J125" s="80" t="s">
        <v>30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256" t="s">
        <v>131</v>
      </c>
      <c r="B126" s="195"/>
      <c r="C126" s="195"/>
      <c r="D126" s="195"/>
      <c r="E126" s="195"/>
      <c r="F126" s="195"/>
      <c r="G126" s="195"/>
      <c r="H126" s="196"/>
      <c r="I126" s="97">
        <f>I124+I125</f>
        <v>0</v>
      </c>
      <c r="J126" s="80" t="s">
        <v>30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98" t="s">
        <v>6</v>
      </c>
      <c r="B127" s="253" t="s">
        <v>132</v>
      </c>
      <c r="C127" s="195"/>
      <c r="D127" s="195"/>
      <c r="E127" s="195"/>
      <c r="F127" s="195"/>
      <c r="G127" s="195"/>
      <c r="H127" s="196"/>
      <c r="I127" s="99">
        <f>ROUND(H66*I126,2)</f>
        <v>0</v>
      </c>
      <c r="J127" s="80" t="s">
        <v>30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257" t="s">
        <v>58</v>
      </c>
      <c r="B128" s="195"/>
      <c r="C128" s="195"/>
      <c r="D128" s="195"/>
      <c r="E128" s="195"/>
      <c r="F128" s="195"/>
      <c r="G128" s="195"/>
      <c r="H128" s="196"/>
      <c r="I128" s="100">
        <f>SUM(I126:I127)</f>
        <v>0</v>
      </c>
      <c r="J128" s="80" t="s">
        <v>30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7.5" customHeight="1">
      <c r="A129" s="258"/>
      <c r="B129" s="195"/>
      <c r="C129" s="195"/>
      <c r="D129" s="195"/>
      <c r="E129" s="195"/>
      <c r="F129" s="195"/>
      <c r="G129" s="195"/>
      <c r="H129" s="195"/>
      <c r="I129" s="19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259" t="s">
        <v>133</v>
      </c>
      <c r="B130" s="195"/>
      <c r="C130" s="195"/>
      <c r="D130" s="195"/>
      <c r="E130" s="195"/>
      <c r="F130" s="195"/>
      <c r="G130" s="195"/>
      <c r="H130" s="195"/>
      <c r="I130" s="19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 customHeight="1">
      <c r="A131" s="74">
        <v>4</v>
      </c>
      <c r="B131" s="260" t="s">
        <v>134</v>
      </c>
      <c r="C131" s="195"/>
      <c r="D131" s="195"/>
      <c r="E131" s="195"/>
      <c r="F131" s="195"/>
      <c r="G131" s="195"/>
      <c r="H131" s="196"/>
      <c r="I131" s="95" t="s">
        <v>55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>
      <c r="A132" s="9" t="s">
        <v>115</v>
      </c>
      <c r="B132" s="261" t="s">
        <v>116</v>
      </c>
      <c r="C132" s="195"/>
      <c r="D132" s="195"/>
      <c r="E132" s="195"/>
      <c r="F132" s="195"/>
      <c r="G132" s="195"/>
      <c r="H132" s="196"/>
      <c r="I132" s="97">
        <f t="shared" ref="I132:J132" si="9">I118</f>
        <v>225.83</v>
      </c>
      <c r="J132" s="31">
        <f t="shared" si="9"/>
        <v>225.81944542507793</v>
      </c>
      <c r="K132" s="80" t="s">
        <v>30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>
      <c r="A133" s="9" t="s">
        <v>135</v>
      </c>
      <c r="B133" s="261" t="s">
        <v>126</v>
      </c>
      <c r="C133" s="195"/>
      <c r="D133" s="195"/>
      <c r="E133" s="195"/>
      <c r="F133" s="195"/>
      <c r="G133" s="195"/>
      <c r="H133" s="196"/>
      <c r="I133" s="97">
        <f>I128</f>
        <v>0</v>
      </c>
      <c r="J133" s="31">
        <f>I128</f>
        <v>0</v>
      </c>
      <c r="K133" s="80" t="s">
        <v>30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>
      <c r="A134" s="262" t="s">
        <v>58</v>
      </c>
      <c r="B134" s="195"/>
      <c r="C134" s="195"/>
      <c r="D134" s="195"/>
      <c r="E134" s="195"/>
      <c r="F134" s="195"/>
      <c r="G134" s="195"/>
      <c r="H134" s="196"/>
      <c r="I134" s="100">
        <f>SUM(I132+I133)</f>
        <v>225.83</v>
      </c>
      <c r="J134" s="31">
        <f>J132+J133</f>
        <v>225.81944542507793</v>
      </c>
      <c r="K134" s="80" t="s">
        <v>30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7.5" customHeight="1">
      <c r="A135" s="208"/>
      <c r="B135" s="195"/>
      <c r="C135" s="195"/>
      <c r="D135" s="195"/>
      <c r="E135" s="195"/>
      <c r="F135" s="195"/>
      <c r="G135" s="195"/>
      <c r="H135" s="195"/>
      <c r="I135" s="19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251" t="s">
        <v>136</v>
      </c>
      <c r="B136" s="195"/>
      <c r="C136" s="195"/>
      <c r="D136" s="195"/>
      <c r="E136" s="195"/>
      <c r="F136" s="195"/>
      <c r="G136" s="195"/>
      <c r="H136" s="195"/>
      <c r="I136" s="19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 customHeight="1">
      <c r="A137" s="58">
        <v>3</v>
      </c>
      <c r="B137" s="252" t="s">
        <v>137</v>
      </c>
      <c r="C137" s="195"/>
      <c r="D137" s="195"/>
      <c r="E137" s="195"/>
      <c r="F137" s="195"/>
      <c r="G137" s="195"/>
      <c r="H137" s="196"/>
      <c r="I137" s="58" t="s">
        <v>55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>
      <c r="A138" s="96" t="s">
        <v>4</v>
      </c>
      <c r="B138" s="253" t="s">
        <v>138</v>
      </c>
      <c r="C138" s="195"/>
      <c r="D138" s="195"/>
      <c r="E138" s="195"/>
      <c r="F138" s="195"/>
      <c r="G138" s="195"/>
      <c r="H138" s="196"/>
      <c r="I138" s="97">
        <f>'INSUMOS - Lajeado'!G33</f>
        <v>99.81750000000001</v>
      </c>
      <c r="J138" s="101">
        <f>'INSUMOS - Lajeado'!G33</f>
        <v>99.81750000000001</v>
      </c>
      <c r="K138" s="80" t="s">
        <v>30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>
      <c r="A139" s="96" t="s">
        <v>6</v>
      </c>
      <c r="B139" s="253" t="s">
        <v>139</v>
      </c>
      <c r="C139" s="195"/>
      <c r="D139" s="195"/>
      <c r="E139" s="195"/>
      <c r="F139" s="195"/>
      <c r="G139" s="195"/>
      <c r="H139" s="196"/>
      <c r="I139" s="75">
        <f>'INSUMOS - Lajeado'!F30</f>
        <v>14.475999999999999</v>
      </c>
      <c r="J139" s="101">
        <f>'INSUMOS - Lajeado'!F30</f>
        <v>14.475999999999999</v>
      </c>
      <c r="K139" s="80" t="s">
        <v>30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>
      <c r="A140" s="96" t="s">
        <v>9</v>
      </c>
      <c r="B140" s="253" t="s">
        <v>140</v>
      </c>
      <c r="C140" s="195"/>
      <c r="D140" s="195"/>
      <c r="E140" s="195"/>
      <c r="F140" s="195"/>
      <c r="G140" s="195"/>
      <c r="H140" s="196"/>
      <c r="I140" s="75" t="s">
        <v>141</v>
      </c>
      <c r="J140" s="102">
        <v>0</v>
      </c>
      <c r="K140" s="80" t="s">
        <v>30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207" t="s">
        <v>131</v>
      </c>
      <c r="B141" s="195"/>
      <c r="C141" s="195"/>
      <c r="D141" s="195"/>
      <c r="E141" s="195"/>
      <c r="F141" s="195"/>
      <c r="G141" s="195"/>
      <c r="H141" s="196"/>
      <c r="I141" s="103">
        <f>ROUND(SUM(I138:I140),2)</f>
        <v>114.29</v>
      </c>
      <c r="J141" s="104">
        <f>J138+J139+J140</f>
        <v>114.29350000000001</v>
      </c>
      <c r="K141" s="80" t="s">
        <v>30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7.5" customHeight="1">
      <c r="A142" s="254"/>
      <c r="B142" s="195"/>
      <c r="C142" s="195"/>
      <c r="D142" s="195"/>
      <c r="E142" s="195"/>
      <c r="F142" s="195"/>
      <c r="G142" s="195"/>
      <c r="H142" s="195"/>
      <c r="I142" s="19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255" t="s">
        <v>142</v>
      </c>
      <c r="B143" s="195"/>
      <c r="C143" s="195"/>
      <c r="D143" s="195"/>
      <c r="E143" s="195"/>
      <c r="F143" s="195"/>
      <c r="G143" s="195"/>
      <c r="H143" s="195"/>
      <c r="I143" s="19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6.75" customHeight="1">
      <c r="A144" s="105"/>
      <c r="B144" s="106"/>
      <c r="C144" s="106"/>
      <c r="D144" s="106"/>
      <c r="E144" s="106"/>
      <c r="F144" s="106"/>
      <c r="G144" s="106"/>
      <c r="H144" s="106"/>
      <c r="I144" s="10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246" t="s">
        <v>143</v>
      </c>
      <c r="B145" s="195"/>
      <c r="C145" s="195"/>
      <c r="D145" s="195"/>
      <c r="E145" s="195"/>
      <c r="F145" s="195"/>
      <c r="G145" s="195"/>
      <c r="H145" s="195"/>
      <c r="I145" s="19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30" customHeight="1">
      <c r="A146" s="58">
        <v>6</v>
      </c>
      <c r="B146" s="247" t="s">
        <v>144</v>
      </c>
      <c r="C146" s="195"/>
      <c r="D146" s="195"/>
      <c r="E146" s="195"/>
      <c r="F146" s="195"/>
      <c r="G146" s="196"/>
      <c r="H146" s="44" t="s">
        <v>37</v>
      </c>
      <c r="I146" s="108" t="s">
        <v>63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>
      <c r="A147" s="248" t="s">
        <v>145</v>
      </c>
      <c r="B147" s="195"/>
      <c r="C147" s="195"/>
      <c r="D147" s="195"/>
      <c r="E147" s="195"/>
      <c r="F147" s="195"/>
      <c r="G147" s="196"/>
      <c r="H147" s="109" t="s">
        <v>83</v>
      </c>
      <c r="I147" s="110">
        <f>SUM(I43+I92+I102+I134+I141)</f>
        <v>3233.4851216457141</v>
      </c>
      <c r="J147" s="31">
        <f>J43+J92+J102+J134+J141</f>
        <v>3233.4710397730782</v>
      </c>
      <c r="K147" s="80" t="s">
        <v>30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96" t="s">
        <v>4</v>
      </c>
      <c r="B148" s="249" t="s">
        <v>146</v>
      </c>
      <c r="C148" s="195"/>
      <c r="D148" s="195"/>
      <c r="E148" s="195"/>
      <c r="F148" s="195"/>
      <c r="G148" s="196"/>
      <c r="H148" s="111">
        <v>0.06</v>
      </c>
      <c r="I148" s="97">
        <f>ROUND(H148*I147,2)</f>
        <v>194.01</v>
      </c>
      <c r="J148" s="112">
        <f>J147*H148</f>
        <v>194.0082623863847</v>
      </c>
      <c r="K148" s="80" t="s">
        <v>30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>
      <c r="A149" s="248" t="s">
        <v>147</v>
      </c>
      <c r="B149" s="195"/>
      <c r="C149" s="195"/>
      <c r="D149" s="195"/>
      <c r="E149" s="195"/>
      <c r="F149" s="195"/>
      <c r="G149" s="196"/>
      <c r="H149" s="113" t="s">
        <v>83</v>
      </c>
      <c r="I149" s="110">
        <f>SUM(I43+I92+I102+I134+I141+I148)</f>
        <v>3427.4951216457139</v>
      </c>
      <c r="J149" s="31">
        <f>J147+J148</f>
        <v>3427.4793021594628</v>
      </c>
      <c r="K149" s="80" t="s">
        <v>30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59" t="s">
        <v>6</v>
      </c>
      <c r="B150" s="249" t="s">
        <v>148</v>
      </c>
      <c r="C150" s="195"/>
      <c r="D150" s="195"/>
      <c r="E150" s="195"/>
      <c r="F150" s="195"/>
      <c r="G150" s="196"/>
      <c r="H150" s="111">
        <v>6.7900000000000002E-2</v>
      </c>
      <c r="I150" s="97">
        <f>ROUND(H150*I149,2)</f>
        <v>232.73</v>
      </c>
      <c r="J150" s="114">
        <f>J149*H150</f>
        <v>232.72584461662754</v>
      </c>
      <c r="K150" s="80" t="s">
        <v>30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>
      <c r="A151" s="248" t="s">
        <v>149</v>
      </c>
      <c r="B151" s="195"/>
      <c r="C151" s="195"/>
      <c r="D151" s="195"/>
      <c r="E151" s="195"/>
      <c r="F151" s="195"/>
      <c r="G151" s="196"/>
      <c r="H151" s="113" t="s">
        <v>83</v>
      </c>
      <c r="I151" s="110">
        <f>SUM(I43+I92+I102+I134+I141+I148+I150)</f>
        <v>3660.2251216457139</v>
      </c>
      <c r="J151" s="31">
        <f>J149+J150</f>
        <v>3660.2051467760903</v>
      </c>
      <c r="K151" s="80" t="s">
        <v>30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6.5" customHeight="1">
      <c r="A152" s="115" t="s">
        <v>9</v>
      </c>
      <c r="B152" s="246" t="s">
        <v>150</v>
      </c>
      <c r="C152" s="195"/>
      <c r="D152" s="195"/>
      <c r="E152" s="195"/>
      <c r="F152" s="195"/>
      <c r="G152" s="196"/>
      <c r="H152" s="116" t="s">
        <v>83</v>
      </c>
      <c r="I152" s="64" t="s">
        <v>83</v>
      </c>
      <c r="J152" s="1"/>
      <c r="K152" s="8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>
      <c r="A153" s="59"/>
      <c r="B153" s="250" t="s">
        <v>151</v>
      </c>
      <c r="C153" s="195"/>
      <c r="D153" s="195"/>
      <c r="E153" s="195"/>
      <c r="F153" s="195"/>
      <c r="G153" s="196"/>
      <c r="H153" s="116" t="s">
        <v>83</v>
      </c>
      <c r="I153" s="64" t="s">
        <v>83</v>
      </c>
      <c r="J153" s="1"/>
      <c r="K153" s="8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>
      <c r="A154" s="60"/>
      <c r="B154" s="232" t="s">
        <v>152</v>
      </c>
      <c r="C154" s="195"/>
      <c r="D154" s="195"/>
      <c r="E154" s="195"/>
      <c r="F154" s="195"/>
      <c r="G154" s="196"/>
      <c r="H154" s="117">
        <v>7.5999999999999998E-2</v>
      </c>
      <c r="I154" s="118">
        <f t="shared" ref="I154:I155" si="10">ROUND(($I$151/(1-$H$163))*H154,2)</f>
        <v>315.20999999999998</v>
      </c>
      <c r="J154" s="119">
        <f>H154/(1-H163)*J151</f>
        <v>315.2131344532383</v>
      </c>
      <c r="K154" s="80" t="s">
        <v>30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>
      <c r="A155" s="60"/>
      <c r="B155" s="232" t="s">
        <v>153</v>
      </c>
      <c r="C155" s="195"/>
      <c r="D155" s="195"/>
      <c r="E155" s="195"/>
      <c r="F155" s="195"/>
      <c r="G155" s="196"/>
      <c r="H155" s="117">
        <v>1.6500000000000001E-2</v>
      </c>
      <c r="I155" s="118">
        <f t="shared" si="10"/>
        <v>68.430000000000007</v>
      </c>
      <c r="J155" s="119">
        <f>H155/(1-H163)*I151</f>
        <v>68.434803974112498</v>
      </c>
      <c r="K155" s="80" t="s">
        <v>30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>
      <c r="A156" s="59"/>
      <c r="B156" s="233" t="s">
        <v>154</v>
      </c>
      <c r="C156" s="195"/>
      <c r="D156" s="195"/>
      <c r="E156" s="195"/>
      <c r="F156" s="195"/>
      <c r="G156" s="196"/>
      <c r="H156" s="120" t="s">
        <v>83</v>
      </c>
      <c r="I156" s="64" t="s">
        <v>83</v>
      </c>
      <c r="J156" s="1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>
      <c r="A157" s="59"/>
      <c r="B157" s="233" t="s">
        <v>155</v>
      </c>
      <c r="C157" s="195"/>
      <c r="D157" s="195"/>
      <c r="E157" s="195"/>
      <c r="F157" s="195"/>
      <c r="G157" s="196"/>
      <c r="H157" s="120" t="s">
        <v>83</v>
      </c>
      <c r="I157" s="64" t="s">
        <v>83</v>
      </c>
      <c r="J157" s="1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>
      <c r="A158" s="59"/>
      <c r="B158" s="233" t="s">
        <v>156</v>
      </c>
      <c r="C158" s="195"/>
      <c r="D158" s="195"/>
      <c r="E158" s="195"/>
      <c r="F158" s="195"/>
      <c r="G158" s="195"/>
      <c r="H158" s="120" t="s">
        <v>83</v>
      </c>
      <c r="I158" s="64" t="s">
        <v>83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>
      <c r="A159" s="59"/>
      <c r="B159" s="233" t="s">
        <v>157</v>
      </c>
      <c r="C159" s="195"/>
      <c r="D159" s="195"/>
      <c r="E159" s="195"/>
      <c r="F159" s="195"/>
      <c r="G159" s="195"/>
      <c r="H159" s="120" t="s">
        <v>83</v>
      </c>
      <c r="I159" s="64" t="s">
        <v>83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>
      <c r="A160" s="60"/>
      <c r="B160" s="234" t="s">
        <v>158</v>
      </c>
      <c r="C160" s="195"/>
      <c r="D160" s="195"/>
      <c r="E160" s="195"/>
      <c r="F160" s="195"/>
      <c r="G160" s="196"/>
      <c r="H160" s="117">
        <v>2.5000000000000001E-2</v>
      </c>
      <c r="I160" s="118">
        <f>ROUND(($I$151/(1-$H$163))*H160,2)</f>
        <v>103.69</v>
      </c>
      <c r="J160" s="114">
        <f>H160/(1-H163)*J151</f>
        <v>103.68853107014421</v>
      </c>
      <c r="K160" s="80" t="s">
        <v>30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207" t="s">
        <v>110</v>
      </c>
      <c r="B161" s="195"/>
      <c r="C161" s="195"/>
      <c r="D161" s="195"/>
      <c r="E161" s="195"/>
      <c r="F161" s="195"/>
      <c r="G161" s="195"/>
      <c r="H161" s="196"/>
      <c r="I161" s="42">
        <f>SUM(I148+I150+I154+I155+I160)</f>
        <v>914.07000000000016</v>
      </c>
      <c r="J161" s="121">
        <f>J154+J155+J160+J148+J150</f>
        <v>914.07057650050729</v>
      </c>
      <c r="K161" s="80" t="s">
        <v>30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6.75" customHeight="1">
      <c r="A162" s="208"/>
      <c r="B162" s="195"/>
      <c r="C162" s="195"/>
      <c r="D162" s="195"/>
      <c r="E162" s="195"/>
      <c r="F162" s="195"/>
      <c r="G162" s="195"/>
      <c r="H162" s="195"/>
      <c r="I162" s="196"/>
      <c r="J162" s="1"/>
      <c r="K162" s="8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209" t="s">
        <v>159</v>
      </c>
      <c r="B163" s="195"/>
      <c r="C163" s="195"/>
      <c r="D163" s="195"/>
      <c r="E163" s="195"/>
      <c r="F163" s="195"/>
      <c r="G163" s="196"/>
      <c r="H163" s="122">
        <f t="shared" ref="H163:I163" si="11">SUM(H154:H160)</f>
        <v>0.11749999999999999</v>
      </c>
      <c r="I163" s="110">
        <f t="shared" si="11"/>
        <v>487.33</v>
      </c>
      <c r="J163" s="121">
        <f>J154+J155+J160</f>
        <v>487.33646949749505</v>
      </c>
      <c r="K163" s="80" t="s">
        <v>30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>
      <c r="A164" s="210" t="s">
        <v>160</v>
      </c>
      <c r="B164" s="189"/>
      <c r="C164" s="212" t="s">
        <v>161</v>
      </c>
      <c r="D164" s="189"/>
      <c r="E164" s="189"/>
      <c r="F164" s="189"/>
      <c r="G164" s="189"/>
      <c r="H164" s="189"/>
      <c r="I164" s="189"/>
      <c r="J164" s="1"/>
      <c r="K164" s="8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" customHeight="1">
      <c r="A165" s="211"/>
      <c r="B165" s="189"/>
      <c r="C165" s="213" t="s">
        <v>162</v>
      </c>
      <c r="D165" s="189"/>
      <c r="E165" s="189"/>
      <c r="F165" s="189"/>
      <c r="G165" s="189"/>
      <c r="H165" s="189"/>
      <c r="I165" s="189"/>
      <c r="J165" s="1"/>
      <c r="K165" s="8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" customHeight="1">
      <c r="A166" s="191"/>
      <c r="B166" s="192"/>
      <c r="C166" s="214" t="s">
        <v>163</v>
      </c>
      <c r="D166" s="192"/>
      <c r="E166" s="192"/>
      <c r="F166" s="192"/>
      <c r="G166" s="192"/>
      <c r="H166" s="192"/>
      <c r="I166" s="192"/>
      <c r="J166" s="1"/>
      <c r="K166" s="8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6.75" customHeight="1">
      <c r="A167" s="215"/>
      <c r="B167" s="195"/>
      <c r="C167" s="195"/>
      <c r="D167" s="195"/>
      <c r="E167" s="195"/>
      <c r="F167" s="195"/>
      <c r="G167" s="195"/>
      <c r="H167" s="195"/>
      <c r="I167" s="216"/>
      <c r="J167" s="1"/>
      <c r="K167" s="8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4" customHeight="1">
      <c r="A168" s="217" t="s">
        <v>164</v>
      </c>
      <c r="B168" s="195"/>
      <c r="C168" s="195"/>
      <c r="D168" s="195"/>
      <c r="E168" s="195"/>
      <c r="F168" s="195"/>
      <c r="G168" s="195"/>
      <c r="H168" s="195"/>
      <c r="I168" s="19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5.25" customHeight="1">
      <c r="A169" s="208"/>
      <c r="B169" s="195"/>
      <c r="C169" s="195"/>
      <c r="D169" s="195"/>
      <c r="E169" s="195"/>
      <c r="F169" s="195"/>
      <c r="G169" s="195"/>
      <c r="H169" s="195"/>
      <c r="I169" s="19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218" t="s">
        <v>165</v>
      </c>
      <c r="B170" s="195"/>
      <c r="C170" s="195"/>
      <c r="D170" s="195"/>
      <c r="E170" s="195"/>
      <c r="F170" s="195"/>
      <c r="G170" s="195"/>
      <c r="H170" s="195"/>
      <c r="I170" s="19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 customHeight="1">
      <c r="A171" s="219" t="s">
        <v>166</v>
      </c>
      <c r="B171" s="195"/>
      <c r="C171" s="195"/>
      <c r="D171" s="195"/>
      <c r="E171" s="195"/>
      <c r="F171" s="195"/>
      <c r="G171" s="195"/>
      <c r="H171" s="196"/>
      <c r="I171" s="44" t="s">
        <v>55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 customHeight="1">
      <c r="A172" s="123" t="s">
        <v>4</v>
      </c>
      <c r="B172" s="220" t="s">
        <v>167</v>
      </c>
      <c r="C172" s="195"/>
      <c r="D172" s="195"/>
      <c r="E172" s="195"/>
      <c r="F172" s="195"/>
      <c r="G172" s="195"/>
      <c r="H172" s="195"/>
      <c r="I172" s="124">
        <f>I43</f>
        <v>1472.9333142857142</v>
      </c>
      <c r="J172" s="1">
        <f>J38</f>
        <v>1472.93</v>
      </c>
      <c r="K172" s="80" t="s">
        <v>30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>
      <c r="A173" s="123" t="s">
        <v>6</v>
      </c>
      <c r="B173" s="220" t="s">
        <v>168</v>
      </c>
      <c r="C173" s="195"/>
      <c r="D173" s="195"/>
      <c r="E173" s="195"/>
      <c r="F173" s="195"/>
      <c r="G173" s="195"/>
      <c r="H173" s="195"/>
      <c r="I173" s="124">
        <f t="shared" ref="I173:J173" si="12">I92</f>
        <v>1329.3899999999999</v>
      </c>
      <c r="J173" s="48">
        <f t="shared" si="12"/>
        <v>1329.3806981383545</v>
      </c>
      <c r="K173" s="80" t="s">
        <v>30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 customHeight="1">
      <c r="A174" s="123" t="s">
        <v>9</v>
      </c>
      <c r="B174" s="220" t="s">
        <v>169</v>
      </c>
      <c r="C174" s="195"/>
      <c r="D174" s="195"/>
      <c r="E174" s="195"/>
      <c r="F174" s="195"/>
      <c r="G174" s="195"/>
      <c r="H174" s="195"/>
      <c r="I174" s="124">
        <f t="shared" ref="I174:J174" si="13">I102</f>
        <v>91.041807360000007</v>
      </c>
      <c r="J174" s="31">
        <f t="shared" si="13"/>
        <v>91.047396209645711</v>
      </c>
      <c r="K174" s="80" t="s">
        <v>30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 customHeight="1">
      <c r="A175" s="123" t="s">
        <v>11</v>
      </c>
      <c r="B175" s="220" t="s">
        <v>170</v>
      </c>
      <c r="C175" s="195"/>
      <c r="D175" s="195"/>
      <c r="E175" s="195"/>
      <c r="F175" s="195"/>
      <c r="G175" s="195"/>
      <c r="H175" s="195"/>
      <c r="I175" s="124">
        <f t="shared" ref="I175:J175" si="14">I134</f>
        <v>225.83</v>
      </c>
      <c r="J175" s="31">
        <f t="shared" si="14"/>
        <v>225.81944542507793</v>
      </c>
      <c r="K175" s="80" t="s">
        <v>30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 customHeight="1">
      <c r="A176" s="123" t="s">
        <v>43</v>
      </c>
      <c r="B176" s="220" t="s">
        <v>171</v>
      </c>
      <c r="C176" s="195"/>
      <c r="D176" s="195"/>
      <c r="E176" s="195"/>
      <c r="F176" s="195"/>
      <c r="G176" s="195"/>
      <c r="H176" s="195"/>
      <c r="I176" s="124">
        <f t="shared" ref="I176:J176" si="15">I141</f>
        <v>114.29</v>
      </c>
      <c r="J176" s="104">
        <f t="shared" si="15"/>
        <v>114.29350000000001</v>
      </c>
      <c r="K176" s="80" t="s">
        <v>30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 customHeight="1">
      <c r="A177" s="221" t="s">
        <v>172</v>
      </c>
      <c r="B177" s="195"/>
      <c r="C177" s="195"/>
      <c r="D177" s="195"/>
      <c r="E177" s="195"/>
      <c r="F177" s="195"/>
      <c r="G177" s="195"/>
      <c r="H177" s="216"/>
      <c r="I177" s="124">
        <f t="shared" ref="I177:J177" si="16">SUM(I172:I176)</f>
        <v>3233.4851216457141</v>
      </c>
      <c r="J177" s="1">
        <f t="shared" si="16"/>
        <v>3233.4710397730782</v>
      </c>
      <c r="K177" s="80" t="s">
        <v>30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 customHeight="1">
      <c r="A178" s="125" t="s">
        <v>71</v>
      </c>
      <c r="B178" s="220" t="s">
        <v>143</v>
      </c>
      <c r="C178" s="195"/>
      <c r="D178" s="195"/>
      <c r="E178" s="195"/>
      <c r="F178" s="195"/>
      <c r="G178" s="195"/>
      <c r="H178" s="195"/>
      <c r="I178" s="103">
        <f t="shared" ref="I178:J178" si="17">I161</f>
        <v>914.07000000000016</v>
      </c>
      <c r="J178" s="121">
        <f t="shared" si="17"/>
        <v>914.07057650050729</v>
      </c>
      <c r="K178" s="80" t="s">
        <v>30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 customHeight="1">
      <c r="A179" s="221" t="s">
        <v>173</v>
      </c>
      <c r="B179" s="195"/>
      <c r="C179" s="195"/>
      <c r="D179" s="195"/>
      <c r="E179" s="195"/>
      <c r="F179" s="195"/>
      <c r="G179" s="195"/>
      <c r="H179" s="216"/>
      <c r="I179" s="124">
        <f t="shared" ref="I179:J179" si="18">I177+I178</f>
        <v>4147.5551216457143</v>
      </c>
      <c r="J179" s="121">
        <f t="shared" si="18"/>
        <v>4147.5416162735855</v>
      </c>
      <c r="K179" s="80" t="s">
        <v>30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7.5" customHeight="1">
      <c r="A180" s="222"/>
      <c r="B180" s="195"/>
      <c r="C180" s="195"/>
      <c r="D180" s="195"/>
      <c r="E180" s="195"/>
      <c r="F180" s="195"/>
      <c r="G180" s="195"/>
      <c r="H180" s="195"/>
      <c r="I180" s="196"/>
      <c r="J180" s="1"/>
      <c r="K180" s="8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 hidden="1" customHeight="1">
      <c r="A181" s="126"/>
      <c r="B181" s="126"/>
      <c r="C181" s="126"/>
      <c r="D181" s="126"/>
      <c r="E181" s="126"/>
      <c r="F181" s="126"/>
      <c r="G181" s="126"/>
      <c r="H181" s="127"/>
      <c r="I181" s="128"/>
      <c r="J181" s="5"/>
      <c r="K181" s="129"/>
      <c r="L181" s="5"/>
      <c r="M181" s="13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31.5" customHeight="1">
      <c r="A182" s="241" t="s">
        <v>174</v>
      </c>
      <c r="B182" s="189"/>
      <c r="C182" s="189"/>
      <c r="D182" s="189"/>
      <c r="E182" s="189"/>
      <c r="F182" s="189"/>
      <c r="G182" s="189"/>
      <c r="H182" s="189"/>
      <c r="I182" s="189"/>
      <c r="J182" s="1"/>
      <c r="K182" s="8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5.5" customHeight="1">
      <c r="A183" s="242" t="s">
        <v>175</v>
      </c>
      <c r="B183" s="195"/>
      <c r="C183" s="195"/>
      <c r="D183" s="196"/>
      <c r="E183" s="242" t="s">
        <v>176</v>
      </c>
      <c r="F183" s="196"/>
      <c r="G183" s="44" t="s">
        <v>177</v>
      </c>
      <c r="H183" s="242" t="s">
        <v>178</v>
      </c>
      <c r="I183" s="196"/>
      <c r="K183" s="38"/>
    </row>
    <row r="184" spans="1:31" ht="12.75" customHeight="1">
      <c r="A184" s="243" t="s">
        <v>179</v>
      </c>
      <c r="B184" s="195"/>
      <c r="C184" s="195"/>
      <c r="D184" s="196"/>
      <c r="E184" s="244">
        <f>I179</f>
        <v>4147.5551216457143</v>
      </c>
      <c r="F184" s="196"/>
      <c r="G184" s="131">
        <f>H14</f>
        <v>1</v>
      </c>
      <c r="H184" s="239">
        <f>E184*G184</f>
        <v>4147.5551216457143</v>
      </c>
      <c r="I184" s="196"/>
      <c r="K184" s="38"/>
    </row>
    <row r="185" spans="1:31" ht="15.75" customHeight="1">
      <c r="A185" s="245" t="s">
        <v>180</v>
      </c>
      <c r="B185" s="195"/>
      <c r="C185" s="195"/>
      <c r="D185" s="195"/>
      <c r="E185" s="195"/>
      <c r="F185" s="196"/>
      <c r="G185" s="132">
        <f>SUM(G184)</f>
        <v>1</v>
      </c>
      <c r="H185" s="240">
        <f>SUM(H184:I184)</f>
        <v>4147.5551216457143</v>
      </c>
      <c r="I185" s="196"/>
      <c r="J185" s="133">
        <f>J179</f>
        <v>4147.5416162735855</v>
      </c>
      <c r="K185" s="38" t="s">
        <v>30</v>
      </c>
    </row>
    <row r="186" spans="1:31" ht="6.75" customHeight="1">
      <c r="A186" s="235"/>
      <c r="B186" s="236"/>
      <c r="C186" s="236"/>
      <c r="D186" s="236"/>
      <c r="E186" s="236"/>
      <c r="F186" s="236"/>
      <c r="G186" s="236"/>
      <c r="H186" s="236"/>
      <c r="I186" s="237"/>
      <c r="K186" s="38"/>
    </row>
    <row r="187" spans="1:31" ht="17.25" customHeight="1">
      <c r="A187" s="238" t="s">
        <v>181</v>
      </c>
      <c r="B187" s="192"/>
      <c r="C187" s="192"/>
      <c r="D187" s="192"/>
      <c r="E187" s="192"/>
      <c r="F187" s="192"/>
      <c r="G187" s="192"/>
      <c r="H187" s="192"/>
      <c r="I187" s="192"/>
      <c r="K187" s="38"/>
    </row>
    <row r="188" spans="1:31" ht="6.75" customHeight="1">
      <c r="A188" s="223"/>
      <c r="B188" s="195"/>
      <c r="C188" s="195"/>
      <c r="D188" s="195"/>
      <c r="E188" s="195"/>
      <c r="F188" s="195"/>
      <c r="G188" s="195"/>
      <c r="H188" s="195"/>
      <c r="I188" s="196"/>
      <c r="J188" s="1"/>
      <c r="K188" s="8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8" customHeight="1">
      <c r="A189" s="224" t="s">
        <v>182</v>
      </c>
      <c r="B189" s="195"/>
      <c r="C189" s="195"/>
      <c r="D189" s="195"/>
      <c r="E189" s="195"/>
      <c r="F189" s="196"/>
      <c r="G189" s="225">
        <f>$H$185</f>
        <v>4147.5551216457143</v>
      </c>
      <c r="H189" s="195"/>
      <c r="I189" s="196"/>
      <c r="J189" s="31">
        <f>H185</f>
        <v>4147.5551216457143</v>
      </c>
      <c r="K189" s="80" t="s">
        <v>30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8.25" customHeight="1">
      <c r="A190" s="226"/>
      <c r="B190" s="227"/>
      <c r="C190" s="227"/>
      <c r="D190" s="227"/>
      <c r="E190" s="227"/>
      <c r="F190" s="227"/>
      <c r="G190" s="227"/>
      <c r="H190" s="227"/>
      <c r="I190" s="228"/>
      <c r="J190" s="1"/>
      <c r="K190" s="8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8" customHeight="1">
      <c r="A191" s="224" t="s">
        <v>183</v>
      </c>
      <c r="B191" s="195"/>
      <c r="C191" s="195"/>
      <c r="D191" s="195"/>
      <c r="E191" s="195"/>
      <c r="F191" s="196"/>
      <c r="G191" s="229">
        <f>$H$11</f>
        <v>20</v>
      </c>
      <c r="H191" s="195"/>
      <c r="I191" s="196"/>
      <c r="J191" s="1">
        <v>20</v>
      </c>
      <c r="K191" s="80" t="s">
        <v>30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8.25" customHeight="1">
      <c r="A192" s="230"/>
      <c r="B192" s="195"/>
      <c r="C192" s="195"/>
      <c r="D192" s="195"/>
      <c r="E192" s="195"/>
      <c r="F192" s="195"/>
      <c r="G192" s="195"/>
      <c r="H192" s="195"/>
      <c r="I192" s="216"/>
      <c r="J192" s="1"/>
      <c r="K192" s="8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8" customHeight="1">
      <c r="A193" s="224" t="s">
        <v>184</v>
      </c>
      <c r="B193" s="195"/>
      <c r="C193" s="195"/>
      <c r="D193" s="195"/>
      <c r="E193" s="195"/>
      <c r="F193" s="196"/>
      <c r="G193" s="231">
        <f>ROUND(G189*G191,2)</f>
        <v>82951.100000000006</v>
      </c>
      <c r="H193" s="195"/>
      <c r="I193" s="196"/>
      <c r="J193" s="31">
        <f>J189*J191</f>
        <v>82951.102432914282</v>
      </c>
      <c r="K193" s="80" t="s">
        <v>30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8.25" customHeight="1">
      <c r="A194" s="205"/>
      <c r="B194" s="195"/>
      <c r="C194" s="195"/>
      <c r="D194" s="195"/>
      <c r="E194" s="195"/>
      <c r="F194" s="195"/>
      <c r="G194" s="195"/>
      <c r="H194" s="195"/>
      <c r="I194" s="196"/>
      <c r="J194" s="1"/>
      <c r="K194" s="8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>
      <c r="A195" s="204" t="s">
        <v>185</v>
      </c>
      <c r="B195" s="195"/>
      <c r="C195" s="195"/>
      <c r="D195" s="195"/>
      <c r="E195" s="195"/>
      <c r="F195" s="195"/>
      <c r="G195" s="195"/>
      <c r="H195" s="195"/>
      <c r="I195" s="196"/>
      <c r="J195" s="1"/>
      <c r="K195" s="8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 customHeight="1">
      <c r="A196" s="188" t="s">
        <v>186</v>
      </c>
      <c r="B196" s="189"/>
      <c r="C196" s="190"/>
      <c r="D196" s="206" t="s">
        <v>187</v>
      </c>
      <c r="E196" s="202"/>
      <c r="F196" s="202"/>
      <c r="G196" s="202"/>
      <c r="H196" s="202"/>
      <c r="I196" s="203"/>
      <c r="J196" s="1"/>
      <c r="K196" s="8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" customHeight="1">
      <c r="A197" s="191"/>
      <c r="B197" s="192"/>
      <c r="C197" s="193"/>
      <c r="D197" s="191"/>
      <c r="E197" s="192"/>
      <c r="F197" s="192"/>
      <c r="G197" s="192"/>
      <c r="H197" s="192"/>
      <c r="I197" s="193"/>
      <c r="J197" s="1"/>
      <c r="K197" s="8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25" customHeight="1">
      <c r="A198" s="194" t="s">
        <v>188</v>
      </c>
      <c r="B198" s="195"/>
      <c r="C198" s="196"/>
      <c r="D198" s="200">
        <v>1</v>
      </c>
      <c r="E198" s="195"/>
      <c r="F198" s="195"/>
      <c r="G198" s="195"/>
      <c r="H198" s="195"/>
      <c r="I198" s="196"/>
      <c r="J198" s="1"/>
      <c r="K198" s="8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>
      <c r="A199" s="194"/>
      <c r="B199" s="195"/>
      <c r="C199" s="196"/>
      <c r="D199" s="200"/>
      <c r="E199" s="195"/>
      <c r="F199" s="195"/>
      <c r="G199" s="195"/>
      <c r="H199" s="195"/>
      <c r="I199" s="196"/>
      <c r="J199" s="1"/>
      <c r="K199" s="8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>
      <c r="A200" s="197"/>
      <c r="B200" s="195"/>
      <c r="C200" s="196"/>
      <c r="D200" s="200"/>
      <c r="E200" s="195"/>
      <c r="F200" s="195"/>
      <c r="G200" s="195"/>
      <c r="H200" s="195"/>
      <c r="I200" s="196"/>
      <c r="J200" s="1"/>
      <c r="K200" s="8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 customHeight="1">
      <c r="A201" s="201"/>
      <c r="B201" s="202"/>
      <c r="C201" s="202"/>
      <c r="D201" s="202"/>
      <c r="E201" s="202"/>
      <c r="F201" s="202"/>
      <c r="G201" s="202"/>
      <c r="H201" s="202"/>
      <c r="I201" s="20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" hidden="1" customHeight="1">
      <c r="A202" s="191"/>
      <c r="B202" s="192"/>
      <c r="C202" s="192"/>
      <c r="D202" s="192"/>
      <c r="E202" s="192"/>
      <c r="F202" s="192"/>
      <c r="G202" s="192"/>
      <c r="H202" s="192"/>
      <c r="I202" s="19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>
      <c r="A203" s="204" t="s">
        <v>189</v>
      </c>
      <c r="B203" s="195"/>
      <c r="C203" s="195"/>
      <c r="D203" s="195"/>
      <c r="E203" s="195"/>
      <c r="F203" s="195"/>
      <c r="G203" s="195"/>
      <c r="H203" s="195"/>
      <c r="I203" s="19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>
      <c r="A204" s="199" t="s">
        <v>190</v>
      </c>
      <c r="B204" s="195"/>
      <c r="C204" s="195"/>
      <c r="D204" s="195"/>
      <c r="E204" s="195"/>
      <c r="F204" s="195"/>
      <c r="G204" s="196"/>
      <c r="H204" s="199" t="s">
        <v>191</v>
      </c>
      <c r="I204" s="19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 customHeight="1">
      <c r="A205" s="198" t="s">
        <v>192</v>
      </c>
      <c r="B205" s="195"/>
      <c r="C205" s="195"/>
      <c r="D205" s="195"/>
      <c r="E205" s="195"/>
      <c r="F205" s="195"/>
      <c r="G205" s="196"/>
      <c r="H205" s="199"/>
      <c r="I205" s="19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>
      <c r="A206" s="194"/>
      <c r="B206" s="195"/>
      <c r="C206" s="195"/>
      <c r="D206" s="195"/>
      <c r="E206" s="195"/>
      <c r="F206" s="195"/>
      <c r="G206" s="196"/>
      <c r="H206" s="199"/>
      <c r="I206" s="19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>
      <c r="A207" s="197"/>
      <c r="B207" s="195"/>
      <c r="C207" s="195"/>
      <c r="D207" s="195"/>
      <c r="E207" s="195"/>
      <c r="F207" s="195"/>
      <c r="G207" s="196"/>
      <c r="H207" s="199"/>
      <c r="I207" s="19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/>
    <row r="407" spans="1:31" ht="15.75" customHeight="1"/>
    <row r="408" spans="1:31" ht="15.75" customHeight="1"/>
    <row r="409" spans="1:31" ht="15.75" customHeight="1"/>
    <row r="410" spans="1:31" ht="15.75" customHeight="1"/>
    <row r="411" spans="1:31" ht="15.75" customHeight="1"/>
    <row r="412" spans="1:31" ht="15.75" customHeight="1"/>
    <row r="413" spans="1:31" ht="15.75" customHeight="1"/>
    <row r="414" spans="1:31" ht="15.75" customHeight="1"/>
    <row r="415" spans="1:31" ht="15.75" customHeight="1"/>
    <row r="416" spans="1:31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2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F14:G14"/>
    <mergeCell ref="H14:I14"/>
    <mergeCell ref="B11:G11"/>
    <mergeCell ref="H11:I11"/>
    <mergeCell ref="A12:I12"/>
    <mergeCell ref="A13:E13"/>
    <mergeCell ref="F13:G13"/>
    <mergeCell ref="H13:I13"/>
    <mergeCell ref="A14:E14"/>
    <mergeCell ref="Q19:X19"/>
    <mergeCell ref="Y19:AE19"/>
    <mergeCell ref="A15:G15"/>
    <mergeCell ref="H15:I15"/>
    <mergeCell ref="A16:I16"/>
    <mergeCell ref="A17:I17"/>
    <mergeCell ref="A18:I18"/>
    <mergeCell ref="A19:I19"/>
    <mergeCell ref="J19:P19"/>
    <mergeCell ref="B27:G27"/>
    <mergeCell ref="H27:I27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B25:G25"/>
    <mergeCell ref="H25:I25"/>
    <mergeCell ref="B26:G26"/>
    <mergeCell ref="H26:I26"/>
    <mergeCell ref="B28:G28"/>
    <mergeCell ref="H28:I28"/>
    <mergeCell ref="B29:G29"/>
    <mergeCell ref="H29:I29"/>
    <mergeCell ref="A30:I30"/>
    <mergeCell ref="A31:I31"/>
    <mergeCell ref="B32:G32"/>
    <mergeCell ref="B33:H33"/>
    <mergeCell ref="B34:H34"/>
    <mergeCell ref="B35:H35"/>
    <mergeCell ref="B36:H36"/>
    <mergeCell ref="B37:H37"/>
    <mergeCell ref="A38:H38"/>
    <mergeCell ref="A39:I39"/>
    <mergeCell ref="B40:H40"/>
    <mergeCell ref="A41:H41"/>
    <mergeCell ref="A42:I42"/>
    <mergeCell ref="A43:H43"/>
    <mergeCell ref="A44:I44"/>
    <mergeCell ref="A45:I45"/>
    <mergeCell ref="A46:I46"/>
    <mergeCell ref="A47:I47"/>
    <mergeCell ref="A48:I48"/>
    <mergeCell ref="B49:H49"/>
    <mergeCell ref="B50:G50"/>
    <mergeCell ref="B51:G51"/>
    <mergeCell ref="A52:H52"/>
    <mergeCell ref="B53:H53"/>
    <mergeCell ref="A54:H54"/>
    <mergeCell ref="A55:I55"/>
    <mergeCell ref="A56:I56"/>
    <mergeCell ref="B57:G57"/>
    <mergeCell ref="B58:G58"/>
    <mergeCell ref="B59:G59"/>
    <mergeCell ref="B60:C60"/>
    <mergeCell ref="B61:G61"/>
    <mergeCell ref="B62:G62"/>
    <mergeCell ref="B63:G63"/>
    <mergeCell ref="B64:G64"/>
    <mergeCell ref="B65:G65"/>
    <mergeCell ref="A66:G66"/>
    <mergeCell ref="A68:I68"/>
    <mergeCell ref="A69:I69"/>
    <mergeCell ref="A70:I70"/>
    <mergeCell ref="B71:H71"/>
    <mergeCell ref="B72:H72"/>
    <mergeCell ref="B73:G73"/>
    <mergeCell ref="B74:G74"/>
    <mergeCell ref="B75:G75"/>
    <mergeCell ref="B76:G76"/>
    <mergeCell ref="B77:H77"/>
    <mergeCell ref="B78:G78"/>
    <mergeCell ref="B79:G79"/>
    <mergeCell ref="B80:G80"/>
    <mergeCell ref="B81:H81"/>
    <mergeCell ref="B82:H82"/>
    <mergeCell ref="B83:H83"/>
    <mergeCell ref="B84:H84"/>
    <mergeCell ref="B85:H85"/>
    <mergeCell ref="A86:I86"/>
    <mergeCell ref="A87:I87"/>
    <mergeCell ref="B88:H88"/>
    <mergeCell ref="B89:H89"/>
    <mergeCell ref="B90:H90"/>
    <mergeCell ref="B91:H91"/>
    <mergeCell ref="A92:H92"/>
    <mergeCell ref="A93:I93"/>
    <mergeCell ref="A94:I94"/>
    <mergeCell ref="B95:H95"/>
    <mergeCell ref="B96:H96"/>
    <mergeCell ref="B97:H97"/>
    <mergeCell ref="B98:H98"/>
    <mergeCell ref="B99:H99"/>
    <mergeCell ref="B100:H100"/>
    <mergeCell ref="B101:G101"/>
    <mergeCell ref="A102:H102"/>
    <mergeCell ref="A103:I103"/>
    <mergeCell ref="A104:I104"/>
    <mergeCell ref="A105:I105"/>
    <mergeCell ref="A106:H106"/>
    <mergeCell ref="A107:I107"/>
    <mergeCell ref="A108:I108"/>
    <mergeCell ref="B109:H109"/>
    <mergeCell ref="B110:G110"/>
    <mergeCell ref="B111:H111"/>
    <mergeCell ref="B112:H112"/>
    <mergeCell ref="B113:H113"/>
    <mergeCell ref="B114:H114"/>
    <mergeCell ref="B115:H115"/>
    <mergeCell ref="A116:H116"/>
    <mergeCell ref="B117:H117"/>
    <mergeCell ref="A118:H118"/>
    <mergeCell ref="A119:I119"/>
    <mergeCell ref="A120:I120"/>
    <mergeCell ref="B121:H121"/>
    <mergeCell ref="B122:H122"/>
    <mergeCell ref="B123:H123"/>
    <mergeCell ref="B124:H124"/>
    <mergeCell ref="B125:H125"/>
    <mergeCell ref="A126:H126"/>
    <mergeCell ref="B127:H127"/>
    <mergeCell ref="A128:H128"/>
    <mergeCell ref="A129:I129"/>
    <mergeCell ref="A130:I130"/>
    <mergeCell ref="B131:H131"/>
    <mergeCell ref="B132:H132"/>
    <mergeCell ref="B133:H133"/>
    <mergeCell ref="A134:H134"/>
    <mergeCell ref="A135:I135"/>
    <mergeCell ref="A136:I136"/>
    <mergeCell ref="B137:H137"/>
    <mergeCell ref="B138:H138"/>
    <mergeCell ref="B139:H139"/>
    <mergeCell ref="B140:H140"/>
    <mergeCell ref="A141:H141"/>
    <mergeCell ref="A142:I142"/>
    <mergeCell ref="A143:I143"/>
    <mergeCell ref="A145:I145"/>
    <mergeCell ref="B146:G146"/>
    <mergeCell ref="A147:G147"/>
    <mergeCell ref="B148:G148"/>
    <mergeCell ref="A149:G149"/>
    <mergeCell ref="B150:G150"/>
    <mergeCell ref="A151:G151"/>
    <mergeCell ref="B152:G152"/>
    <mergeCell ref="B153:G153"/>
    <mergeCell ref="B154:G154"/>
    <mergeCell ref="B155:G155"/>
    <mergeCell ref="B156:G156"/>
    <mergeCell ref="B157:G157"/>
    <mergeCell ref="B158:G158"/>
    <mergeCell ref="B159:G159"/>
    <mergeCell ref="B160:G160"/>
    <mergeCell ref="A186:I186"/>
    <mergeCell ref="A187:I187"/>
    <mergeCell ref="H184:I184"/>
    <mergeCell ref="H185:I185"/>
    <mergeCell ref="A182:I182"/>
    <mergeCell ref="A183:D183"/>
    <mergeCell ref="E183:F183"/>
    <mergeCell ref="H183:I183"/>
    <mergeCell ref="A184:D184"/>
    <mergeCell ref="E184:F184"/>
    <mergeCell ref="A185:F185"/>
    <mergeCell ref="A188:I188"/>
    <mergeCell ref="A189:F189"/>
    <mergeCell ref="G189:I189"/>
    <mergeCell ref="A190:I190"/>
    <mergeCell ref="G191:I191"/>
    <mergeCell ref="A191:F191"/>
    <mergeCell ref="A192:I192"/>
    <mergeCell ref="A193:F193"/>
    <mergeCell ref="G193:I193"/>
    <mergeCell ref="A194:I194"/>
    <mergeCell ref="A195:I195"/>
    <mergeCell ref="D196:I197"/>
    <mergeCell ref="A161:H161"/>
    <mergeCell ref="A162:I162"/>
    <mergeCell ref="A163:G163"/>
    <mergeCell ref="A164:B166"/>
    <mergeCell ref="C164:I164"/>
    <mergeCell ref="C165:I165"/>
    <mergeCell ref="C166:I166"/>
    <mergeCell ref="A167:I167"/>
    <mergeCell ref="A168:I168"/>
    <mergeCell ref="A169:I169"/>
    <mergeCell ref="A170:I170"/>
    <mergeCell ref="A171:H171"/>
    <mergeCell ref="B172:H172"/>
    <mergeCell ref="B173:H173"/>
    <mergeCell ref="B174:H174"/>
    <mergeCell ref="B175:H175"/>
    <mergeCell ref="B176:H176"/>
    <mergeCell ref="A177:H177"/>
    <mergeCell ref="B178:H178"/>
    <mergeCell ref="A179:H179"/>
    <mergeCell ref="A180:I180"/>
    <mergeCell ref="A196:C197"/>
    <mergeCell ref="A198:C198"/>
    <mergeCell ref="A199:C199"/>
    <mergeCell ref="A200:C200"/>
    <mergeCell ref="A205:G205"/>
    <mergeCell ref="H205:I205"/>
    <mergeCell ref="A206:G206"/>
    <mergeCell ref="H206:I206"/>
    <mergeCell ref="A207:G207"/>
    <mergeCell ref="H207:I207"/>
    <mergeCell ref="D198:I198"/>
    <mergeCell ref="D199:I199"/>
    <mergeCell ref="D200:I200"/>
    <mergeCell ref="A201:I202"/>
    <mergeCell ref="A203:I203"/>
    <mergeCell ref="A204:G204"/>
    <mergeCell ref="H204:I204"/>
  </mergeCells>
  <pageMargins left="0.7" right="0.7" top="0.75" bottom="0.75" header="0" footer="0"/>
  <pageSetup orientation="landscape"/>
  <colBreaks count="2" manualBreakCount="2">
    <brk man="1"/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6" sqref="A6:I6"/>
    </sheetView>
  </sheetViews>
  <sheetFormatPr defaultColWidth="14.42578125" defaultRowHeight="15" customHeight="1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11.85546875" customWidth="1"/>
    <col min="8" max="8" width="28" customWidth="1"/>
    <col min="9" max="9" width="14.5703125" customWidth="1"/>
    <col min="10" max="26" width="9.14062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305" t="s">
        <v>193</v>
      </c>
      <c r="B2" s="189"/>
      <c r="C2" s="189"/>
      <c r="D2" s="189"/>
      <c r="E2" s="189"/>
      <c r="F2" s="189"/>
      <c r="G2" s="189"/>
      <c r="H2" s="189"/>
      <c r="I2" s="18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>
      <c r="A3" s="306" t="s">
        <v>345</v>
      </c>
      <c r="B3" s="189"/>
      <c r="C3" s="189"/>
      <c r="D3" s="189"/>
      <c r="E3" s="189"/>
      <c r="F3" s="189"/>
      <c r="G3" s="189"/>
      <c r="H3" s="189"/>
      <c r="I3" s="1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33" t="s">
        <v>1</v>
      </c>
      <c r="B4" s="195"/>
      <c r="C4" s="195"/>
      <c r="D4" s="195"/>
      <c r="E4" s="196"/>
      <c r="F4" s="307" t="s">
        <v>341</v>
      </c>
      <c r="G4" s="195"/>
      <c r="H4" s="195"/>
      <c r="I4" s="19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33" t="s">
        <v>2</v>
      </c>
      <c r="B5" s="195"/>
      <c r="C5" s="195"/>
      <c r="D5" s="195"/>
      <c r="E5" s="196"/>
      <c r="F5" s="308" t="s">
        <v>342</v>
      </c>
      <c r="G5" s="309"/>
      <c r="H5" s="309"/>
      <c r="I5" s="3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33" t="s">
        <v>346</v>
      </c>
      <c r="B6" s="195"/>
      <c r="C6" s="195"/>
      <c r="D6" s="195"/>
      <c r="E6" s="195"/>
      <c r="F6" s="195"/>
      <c r="G6" s="195"/>
      <c r="H6" s="195"/>
      <c r="I6" s="19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219" t="s">
        <v>3</v>
      </c>
      <c r="B7" s="195"/>
      <c r="C7" s="195"/>
      <c r="D7" s="195"/>
      <c r="E7" s="195"/>
      <c r="F7" s="195"/>
      <c r="G7" s="195"/>
      <c r="H7" s="195"/>
      <c r="I7" s="19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" t="s">
        <v>4</v>
      </c>
      <c r="B8" s="233" t="s">
        <v>5</v>
      </c>
      <c r="C8" s="195"/>
      <c r="D8" s="195"/>
      <c r="E8" s="195"/>
      <c r="F8" s="195"/>
      <c r="G8" s="196"/>
      <c r="H8" s="300"/>
      <c r="I8" s="19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" t="s">
        <v>6</v>
      </c>
      <c r="B9" s="233" t="s">
        <v>7</v>
      </c>
      <c r="C9" s="195"/>
      <c r="D9" s="195"/>
      <c r="E9" s="195"/>
      <c r="F9" s="195"/>
      <c r="G9" s="196"/>
      <c r="H9" s="299" t="s">
        <v>194</v>
      </c>
      <c r="I9" s="19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3" t="s">
        <v>9</v>
      </c>
      <c r="B10" s="233" t="s">
        <v>10</v>
      </c>
      <c r="C10" s="195"/>
      <c r="D10" s="195"/>
      <c r="E10" s="195"/>
      <c r="F10" s="195"/>
      <c r="G10" s="196"/>
      <c r="H10" s="300">
        <v>44197</v>
      </c>
      <c r="I10" s="19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" t="s">
        <v>11</v>
      </c>
      <c r="B11" s="233" t="s">
        <v>12</v>
      </c>
      <c r="C11" s="195"/>
      <c r="D11" s="195"/>
      <c r="E11" s="195"/>
      <c r="F11" s="195"/>
      <c r="G11" s="196"/>
      <c r="H11" s="299">
        <v>20</v>
      </c>
      <c r="I11" s="19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303" t="s">
        <v>13</v>
      </c>
      <c r="B12" s="195"/>
      <c r="C12" s="195"/>
      <c r="D12" s="195"/>
      <c r="E12" s="195"/>
      <c r="F12" s="195"/>
      <c r="G12" s="195"/>
      <c r="H12" s="195"/>
      <c r="I12" s="19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42" t="s">
        <v>14</v>
      </c>
      <c r="B13" s="195"/>
      <c r="C13" s="195"/>
      <c r="D13" s="195"/>
      <c r="E13" s="216"/>
      <c r="F13" s="242" t="s">
        <v>15</v>
      </c>
      <c r="G13" s="196"/>
      <c r="H13" s="242" t="s">
        <v>16</v>
      </c>
      <c r="I13" s="19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04" t="s">
        <v>17</v>
      </c>
      <c r="B14" s="195"/>
      <c r="C14" s="195"/>
      <c r="D14" s="195"/>
      <c r="E14" s="196"/>
      <c r="F14" s="301" t="s">
        <v>18</v>
      </c>
      <c r="G14" s="196"/>
      <c r="H14" s="302">
        <v>1</v>
      </c>
      <c r="I14" s="19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95" t="s">
        <v>19</v>
      </c>
      <c r="B15" s="195"/>
      <c r="C15" s="195"/>
      <c r="D15" s="195"/>
      <c r="E15" s="195"/>
      <c r="F15" s="195"/>
      <c r="G15" s="196"/>
      <c r="H15" s="296">
        <f>SUM(H14)</f>
        <v>1</v>
      </c>
      <c r="I15" s="19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.5" customHeight="1">
      <c r="A16" s="274"/>
      <c r="B16" s="195"/>
      <c r="C16" s="195"/>
      <c r="D16" s="195"/>
      <c r="E16" s="195"/>
      <c r="F16" s="195"/>
      <c r="G16" s="195"/>
      <c r="H16" s="195"/>
      <c r="I16" s="19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297" t="s">
        <v>195</v>
      </c>
      <c r="B17" s="195"/>
      <c r="C17" s="195"/>
      <c r="D17" s="195"/>
      <c r="E17" s="195"/>
      <c r="F17" s="195"/>
      <c r="G17" s="195"/>
      <c r="H17" s="195"/>
      <c r="I17" s="19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>
      <c r="A18" s="298"/>
      <c r="B18" s="195"/>
      <c r="C18" s="195"/>
      <c r="D18" s="195"/>
      <c r="E18" s="195"/>
      <c r="F18" s="195"/>
      <c r="G18" s="195"/>
      <c r="H18" s="195"/>
      <c r="I18" s="19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219" t="s">
        <v>21</v>
      </c>
      <c r="B19" s="195"/>
      <c r="C19" s="195"/>
      <c r="D19" s="195"/>
      <c r="E19" s="195"/>
      <c r="F19" s="195"/>
      <c r="G19" s="195"/>
      <c r="H19" s="195"/>
      <c r="I19" s="196"/>
      <c r="J19" s="294"/>
      <c r="K19" s="189"/>
      <c r="L19" s="189"/>
      <c r="M19" s="189"/>
      <c r="N19" s="189"/>
      <c r="O19" s="189"/>
      <c r="P19" s="189"/>
      <c r="Q19" s="189"/>
      <c r="R19" s="294"/>
      <c r="S19" s="189"/>
      <c r="T19" s="189"/>
      <c r="U19" s="189"/>
      <c r="V19" s="189"/>
      <c r="W19" s="189"/>
      <c r="X19" s="189"/>
      <c r="Y19" s="189"/>
      <c r="Z19" s="8"/>
    </row>
    <row r="20" spans="1:26" ht="27" customHeight="1">
      <c r="A20" s="3">
        <v>1</v>
      </c>
      <c r="B20" s="233" t="s">
        <v>22</v>
      </c>
      <c r="C20" s="195"/>
      <c r="D20" s="195"/>
      <c r="E20" s="195"/>
      <c r="F20" s="195"/>
      <c r="G20" s="196"/>
      <c r="H20" s="288" t="s">
        <v>23</v>
      </c>
      <c r="I20" s="19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9">
        <v>2</v>
      </c>
      <c r="B21" s="253" t="s">
        <v>24</v>
      </c>
      <c r="C21" s="195"/>
      <c r="D21" s="195"/>
      <c r="E21" s="195"/>
      <c r="F21" s="195"/>
      <c r="G21" s="196"/>
      <c r="H21" s="289" t="s">
        <v>25</v>
      </c>
      <c r="I21" s="19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>
        <v>3</v>
      </c>
      <c r="B22" s="233" t="s">
        <v>26</v>
      </c>
      <c r="C22" s="195"/>
      <c r="D22" s="195"/>
      <c r="E22" s="195"/>
      <c r="F22" s="195"/>
      <c r="G22" s="196"/>
      <c r="H22" s="290">
        <v>1426.75</v>
      </c>
      <c r="I22" s="19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>
        <v>4</v>
      </c>
      <c r="B23" s="233" t="s">
        <v>27</v>
      </c>
      <c r="C23" s="195"/>
      <c r="D23" s="195"/>
      <c r="E23" s="195"/>
      <c r="F23" s="195"/>
      <c r="G23" s="196"/>
      <c r="H23" s="291" t="s">
        <v>23</v>
      </c>
      <c r="I23" s="19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">
        <v>5</v>
      </c>
      <c r="B24" s="233" t="s">
        <v>28</v>
      </c>
      <c r="C24" s="195"/>
      <c r="D24" s="195"/>
      <c r="E24" s="195"/>
      <c r="F24" s="195"/>
      <c r="G24" s="196"/>
      <c r="H24" s="292">
        <v>44197</v>
      </c>
      <c r="I24" s="19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1">
        <v>6</v>
      </c>
      <c r="B25" s="248" t="s">
        <v>196</v>
      </c>
      <c r="C25" s="195"/>
      <c r="D25" s="195"/>
      <c r="E25" s="195"/>
      <c r="F25" s="195"/>
      <c r="G25" s="196"/>
      <c r="H25" s="284">
        <f>ROUND((H22/220),2)</f>
        <v>6.49</v>
      </c>
      <c r="I25" s="196"/>
    </row>
    <row r="26" spans="1:26" ht="12.75" customHeight="1">
      <c r="A26" s="11">
        <v>7</v>
      </c>
      <c r="B26" s="248" t="s">
        <v>197</v>
      </c>
      <c r="C26" s="195"/>
      <c r="D26" s="195"/>
      <c r="E26" s="195"/>
      <c r="F26" s="195"/>
      <c r="G26" s="196"/>
      <c r="H26" s="293">
        <f>ROUND(H25*1.5,2)</f>
        <v>9.74</v>
      </c>
      <c r="I26" s="196"/>
    </row>
    <row r="27" spans="1:26" ht="24" customHeight="1">
      <c r="A27" s="11">
        <v>8</v>
      </c>
      <c r="B27" s="248" t="s">
        <v>198</v>
      </c>
      <c r="C27" s="195"/>
      <c r="D27" s="195"/>
      <c r="E27" s="195"/>
      <c r="F27" s="195"/>
      <c r="G27" s="196"/>
      <c r="H27" s="284">
        <f>ROUND(H25*0.2,2)*60/52.5</f>
        <v>1.4857142857142858</v>
      </c>
      <c r="I27" s="196"/>
    </row>
    <row r="28" spans="1:26" ht="12.75" customHeight="1">
      <c r="A28" s="11">
        <v>9</v>
      </c>
      <c r="B28" s="248" t="s">
        <v>33</v>
      </c>
      <c r="C28" s="195"/>
      <c r="D28" s="195"/>
      <c r="E28" s="195"/>
      <c r="F28" s="195"/>
      <c r="G28" s="196"/>
      <c r="H28" s="284">
        <f>(60/52.5-1)*H26</f>
        <v>1.3914285714285708</v>
      </c>
      <c r="I28" s="196"/>
    </row>
    <row r="29" spans="1:26" ht="12.75" customHeight="1">
      <c r="A29" s="11">
        <v>10</v>
      </c>
      <c r="B29" s="285" t="s">
        <v>34</v>
      </c>
      <c r="C29" s="195"/>
      <c r="D29" s="195"/>
      <c r="E29" s="195"/>
      <c r="F29" s="195"/>
      <c r="G29" s="196"/>
      <c r="H29" s="286">
        <v>1</v>
      </c>
      <c r="I29" s="196"/>
    </row>
    <row r="30" spans="1:26" ht="9" customHeight="1">
      <c r="A30" s="274"/>
      <c r="B30" s="195"/>
      <c r="C30" s="195"/>
      <c r="D30" s="195"/>
      <c r="E30" s="195"/>
      <c r="F30" s="195"/>
      <c r="G30" s="195"/>
      <c r="H30" s="195"/>
      <c r="I30" s="19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287" t="s">
        <v>35</v>
      </c>
      <c r="B31" s="195"/>
      <c r="C31" s="195"/>
      <c r="D31" s="195"/>
      <c r="E31" s="195"/>
      <c r="F31" s="195"/>
      <c r="G31" s="195"/>
      <c r="H31" s="195"/>
      <c r="I31" s="19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5">
        <v>1</v>
      </c>
      <c r="B32" s="252" t="s">
        <v>36</v>
      </c>
      <c r="C32" s="195"/>
      <c r="D32" s="195"/>
      <c r="E32" s="195"/>
      <c r="F32" s="195"/>
      <c r="G32" s="196"/>
      <c r="H32" s="16" t="s">
        <v>37</v>
      </c>
      <c r="I32" s="15" t="s">
        <v>38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9.5" customHeight="1">
      <c r="A33" s="3" t="s">
        <v>4</v>
      </c>
      <c r="B33" s="233" t="s">
        <v>199</v>
      </c>
      <c r="C33" s="195"/>
      <c r="D33" s="195"/>
      <c r="E33" s="195"/>
      <c r="F33" s="195"/>
      <c r="G33" s="195"/>
      <c r="H33" s="196"/>
      <c r="I33" s="18">
        <f>H22*1</f>
        <v>1426.75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0" t="s">
        <v>6</v>
      </c>
      <c r="B34" s="234" t="s">
        <v>40</v>
      </c>
      <c r="C34" s="195"/>
      <c r="D34" s="195"/>
      <c r="E34" s="195"/>
      <c r="F34" s="195"/>
      <c r="G34" s="195"/>
      <c r="H34" s="196"/>
      <c r="I34" s="21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1" customHeight="1">
      <c r="A35" s="20" t="s">
        <v>9</v>
      </c>
      <c r="B35" s="234" t="s">
        <v>41</v>
      </c>
      <c r="C35" s="195"/>
      <c r="D35" s="195"/>
      <c r="E35" s="195"/>
      <c r="F35" s="195"/>
      <c r="G35" s="195"/>
      <c r="H35" s="196"/>
      <c r="I35" s="2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1" customHeight="1">
      <c r="A36" s="25" t="s">
        <v>11</v>
      </c>
      <c r="B36" s="283" t="s">
        <v>42</v>
      </c>
      <c r="C36" s="195"/>
      <c r="D36" s="195"/>
      <c r="E36" s="195"/>
      <c r="F36" s="195"/>
      <c r="G36" s="195"/>
      <c r="H36" s="196"/>
      <c r="I36" s="26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" t="s">
        <v>43</v>
      </c>
      <c r="B37" s="233" t="s">
        <v>44</v>
      </c>
      <c r="C37" s="195"/>
      <c r="D37" s="195"/>
      <c r="E37" s="195"/>
      <c r="F37" s="195"/>
      <c r="G37" s="195"/>
      <c r="H37" s="196"/>
      <c r="I37" s="29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219" t="s">
        <v>45</v>
      </c>
      <c r="B38" s="195"/>
      <c r="C38" s="195"/>
      <c r="D38" s="195"/>
      <c r="E38" s="195"/>
      <c r="F38" s="195"/>
      <c r="G38" s="195"/>
      <c r="H38" s="196"/>
      <c r="I38" s="30">
        <f>SUM(I33:I37)</f>
        <v>1426.75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>
      <c r="A39" s="277"/>
      <c r="B39" s="195"/>
      <c r="C39" s="195"/>
      <c r="D39" s="195"/>
      <c r="E39" s="195"/>
      <c r="F39" s="195"/>
      <c r="G39" s="195"/>
      <c r="H39" s="195"/>
      <c r="I39" s="19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>
      <c r="A40" s="3" t="s">
        <v>43</v>
      </c>
      <c r="B40" s="233" t="s">
        <v>46</v>
      </c>
      <c r="C40" s="195"/>
      <c r="D40" s="195"/>
      <c r="E40" s="195"/>
      <c r="F40" s="195"/>
      <c r="G40" s="195"/>
      <c r="H40" s="196"/>
      <c r="I40" s="18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2.25" customHeight="1">
      <c r="A41" s="219" t="s">
        <v>200</v>
      </c>
      <c r="B41" s="195"/>
      <c r="C41" s="195"/>
      <c r="D41" s="195"/>
      <c r="E41" s="195"/>
      <c r="F41" s="195"/>
      <c r="G41" s="195"/>
      <c r="H41" s="196"/>
      <c r="I41" s="30">
        <f>I40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71"/>
      <c r="B42" s="195"/>
      <c r="C42" s="195"/>
      <c r="D42" s="195"/>
      <c r="E42" s="195"/>
      <c r="F42" s="195"/>
      <c r="G42" s="195"/>
      <c r="H42" s="195"/>
      <c r="I42" s="19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 customHeight="1">
      <c r="A43" s="219" t="s">
        <v>201</v>
      </c>
      <c r="B43" s="195"/>
      <c r="C43" s="195"/>
      <c r="D43" s="195"/>
      <c r="E43" s="195"/>
      <c r="F43" s="195"/>
      <c r="G43" s="195"/>
      <c r="H43" s="196"/>
      <c r="I43" s="32">
        <f>I38+I41</f>
        <v>1426.75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" customHeight="1">
      <c r="A44" s="277"/>
      <c r="B44" s="195"/>
      <c r="C44" s="195"/>
      <c r="D44" s="195"/>
      <c r="E44" s="195"/>
      <c r="F44" s="195"/>
      <c r="G44" s="195"/>
      <c r="H44" s="195"/>
      <c r="I44" s="19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232" t="s">
        <v>49</v>
      </c>
      <c r="B45" s="195"/>
      <c r="C45" s="195"/>
      <c r="D45" s="195"/>
      <c r="E45" s="195"/>
      <c r="F45" s="195"/>
      <c r="G45" s="195"/>
      <c r="H45" s="195"/>
      <c r="I45" s="19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8.25" customHeight="1">
      <c r="A46" s="278"/>
      <c r="B46" s="195"/>
      <c r="C46" s="195"/>
      <c r="D46" s="195"/>
      <c r="E46" s="195"/>
      <c r="F46" s="195"/>
      <c r="G46" s="195"/>
      <c r="H46" s="195"/>
      <c r="I46" s="19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59" t="s">
        <v>51</v>
      </c>
      <c r="B47" s="195"/>
      <c r="C47" s="195"/>
      <c r="D47" s="195"/>
      <c r="E47" s="195"/>
      <c r="F47" s="195"/>
      <c r="G47" s="195"/>
      <c r="H47" s="195"/>
      <c r="I47" s="19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customHeight="1">
      <c r="A48" s="279" t="s">
        <v>202</v>
      </c>
      <c r="B48" s="195"/>
      <c r="C48" s="195"/>
      <c r="D48" s="195"/>
      <c r="E48" s="195"/>
      <c r="F48" s="195"/>
      <c r="G48" s="195"/>
      <c r="H48" s="195"/>
      <c r="I48" s="19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33" t="s">
        <v>53</v>
      </c>
      <c r="B49" s="280" t="s">
        <v>203</v>
      </c>
      <c r="C49" s="195"/>
      <c r="D49" s="195"/>
      <c r="E49" s="195"/>
      <c r="F49" s="195"/>
      <c r="G49" s="195"/>
      <c r="H49" s="196"/>
      <c r="I49" s="34" t="s">
        <v>55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33" t="s">
        <v>4</v>
      </c>
      <c r="B50" s="253" t="s">
        <v>204</v>
      </c>
      <c r="C50" s="195"/>
      <c r="D50" s="195"/>
      <c r="E50" s="195"/>
      <c r="F50" s="195"/>
      <c r="G50" s="196"/>
      <c r="H50" s="35">
        <v>8.3299999999999999E-2</v>
      </c>
      <c r="I50" s="36">
        <f>ROUND(I38*H50,2)</f>
        <v>118.85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33" t="s">
        <v>6</v>
      </c>
      <c r="B51" s="281" t="s">
        <v>205</v>
      </c>
      <c r="C51" s="195"/>
      <c r="D51" s="195"/>
      <c r="E51" s="195"/>
      <c r="F51" s="195"/>
      <c r="G51" s="196"/>
      <c r="H51" s="39">
        <v>3.0249999999999999E-2</v>
      </c>
      <c r="I51" s="36">
        <f>ROUND(I38*H51,2)</f>
        <v>43.16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82" t="s">
        <v>58</v>
      </c>
      <c r="B52" s="195"/>
      <c r="C52" s="195"/>
      <c r="D52" s="195"/>
      <c r="E52" s="195"/>
      <c r="F52" s="195"/>
      <c r="G52" s="195"/>
      <c r="H52" s="196"/>
      <c r="I52" s="40">
        <f>SUM(I50+I51)</f>
        <v>162.01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1" t="s">
        <v>9</v>
      </c>
      <c r="B53" s="233" t="s">
        <v>59</v>
      </c>
      <c r="C53" s="195"/>
      <c r="D53" s="195"/>
      <c r="E53" s="195"/>
      <c r="F53" s="195"/>
      <c r="G53" s="195"/>
      <c r="H53" s="196"/>
      <c r="I53" s="41">
        <f>ROUND($H$66*I52,2)</f>
        <v>59.62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57" t="s">
        <v>58</v>
      </c>
      <c r="B54" s="195"/>
      <c r="C54" s="195"/>
      <c r="D54" s="195"/>
      <c r="E54" s="195"/>
      <c r="F54" s="195"/>
      <c r="G54" s="195"/>
      <c r="H54" s="196"/>
      <c r="I54" s="42">
        <f>SUM(I52+I53)</f>
        <v>221.63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7.5" customHeight="1">
      <c r="A55" s="275"/>
      <c r="B55" s="195"/>
      <c r="C55" s="195"/>
      <c r="D55" s="195"/>
      <c r="E55" s="195"/>
      <c r="F55" s="195"/>
      <c r="G55" s="195"/>
      <c r="H55" s="195"/>
      <c r="I55" s="19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276" t="s">
        <v>206</v>
      </c>
      <c r="B56" s="195"/>
      <c r="C56" s="195"/>
      <c r="D56" s="195"/>
      <c r="E56" s="195"/>
      <c r="F56" s="195"/>
      <c r="G56" s="195"/>
      <c r="H56" s="195"/>
      <c r="I56" s="19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43" t="s">
        <v>61</v>
      </c>
      <c r="B57" s="273" t="s">
        <v>62</v>
      </c>
      <c r="C57" s="195"/>
      <c r="D57" s="195"/>
      <c r="E57" s="195"/>
      <c r="F57" s="195"/>
      <c r="G57" s="196"/>
      <c r="H57" s="44" t="s">
        <v>37</v>
      </c>
      <c r="I57" s="45" t="s">
        <v>63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6" t="s">
        <v>4</v>
      </c>
      <c r="B58" s="233" t="s">
        <v>64</v>
      </c>
      <c r="C58" s="195"/>
      <c r="D58" s="195"/>
      <c r="E58" s="195"/>
      <c r="F58" s="195"/>
      <c r="G58" s="196"/>
      <c r="H58" s="47">
        <v>0.2</v>
      </c>
      <c r="I58" s="40">
        <f>ROUND((I38+I54)*H58,2)</f>
        <v>329.68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6" t="s">
        <v>6</v>
      </c>
      <c r="B59" s="233" t="s">
        <v>65</v>
      </c>
      <c r="C59" s="195"/>
      <c r="D59" s="195"/>
      <c r="E59" s="195"/>
      <c r="F59" s="195"/>
      <c r="G59" s="196"/>
      <c r="H59" s="47">
        <v>2.5000000000000001E-2</v>
      </c>
      <c r="I59" s="40">
        <f>ROUND((I38+I54)*H59,2)</f>
        <v>41.21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46" t="s">
        <v>9</v>
      </c>
      <c r="B60" s="276" t="s">
        <v>207</v>
      </c>
      <c r="C60" s="196"/>
      <c r="D60" s="49" t="s">
        <v>67</v>
      </c>
      <c r="E60" s="50">
        <v>0.03</v>
      </c>
      <c r="F60" s="49" t="s">
        <v>68</v>
      </c>
      <c r="G60" s="51">
        <v>1</v>
      </c>
      <c r="H60" s="52">
        <f>ROUND((E60*G60),6)</f>
        <v>0.03</v>
      </c>
      <c r="I60" s="40">
        <f>ROUND((I38+I54)*H60,2)</f>
        <v>49.45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6" t="s">
        <v>11</v>
      </c>
      <c r="B61" s="233" t="s">
        <v>69</v>
      </c>
      <c r="C61" s="195"/>
      <c r="D61" s="195"/>
      <c r="E61" s="195"/>
      <c r="F61" s="195"/>
      <c r="G61" s="196"/>
      <c r="H61" s="47">
        <v>1.4999999999999999E-2</v>
      </c>
      <c r="I61" s="40">
        <f>ROUND((I38+I54)*H61,2)</f>
        <v>24.73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6" t="s">
        <v>43</v>
      </c>
      <c r="B62" s="233" t="s">
        <v>70</v>
      </c>
      <c r="C62" s="195"/>
      <c r="D62" s="195"/>
      <c r="E62" s="195"/>
      <c r="F62" s="195"/>
      <c r="G62" s="196"/>
      <c r="H62" s="47">
        <v>0.01</v>
      </c>
      <c r="I62" s="40">
        <f>ROUND((I38+I54)*H62,2)</f>
        <v>16.48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6" t="s">
        <v>71</v>
      </c>
      <c r="B63" s="233" t="s">
        <v>72</v>
      </c>
      <c r="C63" s="195"/>
      <c r="D63" s="195"/>
      <c r="E63" s="195"/>
      <c r="F63" s="195"/>
      <c r="G63" s="196"/>
      <c r="H63" s="47">
        <v>6.0000000000000001E-3</v>
      </c>
      <c r="I63" s="40">
        <f>ROUND((I38+I54)*H63,2)</f>
        <v>9.89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6" t="s">
        <v>73</v>
      </c>
      <c r="B64" s="233" t="s">
        <v>74</v>
      </c>
      <c r="C64" s="195"/>
      <c r="D64" s="195"/>
      <c r="E64" s="195"/>
      <c r="F64" s="195"/>
      <c r="G64" s="196"/>
      <c r="H64" s="47">
        <v>2E-3</v>
      </c>
      <c r="I64" s="40">
        <f>ROUND((I38+I54)*H64,2)</f>
        <v>3.3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6" t="s">
        <v>75</v>
      </c>
      <c r="B65" s="233" t="s">
        <v>76</v>
      </c>
      <c r="C65" s="195"/>
      <c r="D65" s="195"/>
      <c r="E65" s="195"/>
      <c r="F65" s="195"/>
      <c r="G65" s="196"/>
      <c r="H65" s="47">
        <v>0.08</v>
      </c>
      <c r="I65" s="40">
        <f>ROUND((I38+I54)*H65,2)</f>
        <v>131.87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07" t="s">
        <v>58</v>
      </c>
      <c r="B66" s="195"/>
      <c r="C66" s="195"/>
      <c r="D66" s="195"/>
      <c r="E66" s="195"/>
      <c r="F66" s="195"/>
      <c r="G66" s="196"/>
      <c r="H66" s="53">
        <f t="shared" ref="H66:I66" si="0">SUM(H58:H65)</f>
        <v>0.36800000000000005</v>
      </c>
      <c r="I66" s="42">
        <f t="shared" si="0"/>
        <v>606.61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8.25" customHeight="1">
      <c r="A67" s="54"/>
      <c r="B67" s="55"/>
      <c r="C67" s="55"/>
      <c r="D67" s="55"/>
      <c r="E67" s="55"/>
      <c r="F67" s="55"/>
      <c r="G67" s="55"/>
      <c r="H67" s="56"/>
      <c r="I67" s="5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5.25" customHeight="1">
      <c r="A68" s="266" t="s">
        <v>77</v>
      </c>
      <c r="B68" s="195"/>
      <c r="C68" s="195"/>
      <c r="D68" s="195"/>
      <c r="E68" s="195"/>
      <c r="F68" s="195"/>
      <c r="G68" s="195"/>
      <c r="H68" s="195"/>
      <c r="I68" s="19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>
      <c r="A69" s="274"/>
      <c r="B69" s="195"/>
      <c r="C69" s="195"/>
      <c r="D69" s="195"/>
      <c r="E69" s="195"/>
      <c r="F69" s="195"/>
      <c r="G69" s="195"/>
      <c r="H69" s="195"/>
      <c r="I69" s="19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249" t="s">
        <v>78</v>
      </c>
      <c r="B70" s="195"/>
      <c r="C70" s="195"/>
      <c r="D70" s="195"/>
      <c r="E70" s="195"/>
      <c r="F70" s="195"/>
      <c r="G70" s="195"/>
      <c r="H70" s="195"/>
      <c r="I70" s="19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" customHeight="1">
      <c r="A71" s="58" t="s">
        <v>79</v>
      </c>
      <c r="B71" s="252" t="s">
        <v>80</v>
      </c>
      <c r="C71" s="195"/>
      <c r="D71" s="195"/>
      <c r="E71" s="195"/>
      <c r="F71" s="195"/>
      <c r="G71" s="195"/>
      <c r="H71" s="196"/>
      <c r="I71" s="45" t="s">
        <v>55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9" t="s">
        <v>4</v>
      </c>
      <c r="B72" s="233" t="s">
        <v>208</v>
      </c>
      <c r="C72" s="195"/>
      <c r="D72" s="195"/>
      <c r="E72" s="195"/>
      <c r="F72" s="195"/>
      <c r="G72" s="195"/>
      <c r="H72" s="195"/>
      <c r="I72" s="40">
        <f>IF(ROUND((H73*H75*H74)-(I33*H76),2)&lt;0,0,ROUND((H73*H75*H74)-(I33*H76),2))</f>
        <v>125.6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60"/>
      <c r="B73" s="234" t="s">
        <v>82</v>
      </c>
      <c r="C73" s="195"/>
      <c r="D73" s="195"/>
      <c r="E73" s="195"/>
      <c r="F73" s="195"/>
      <c r="G73" s="195"/>
      <c r="H73" s="61">
        <v>4.8</v>
      </c>
      <c r="I73" s="62" t="s">
        <v>83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9"/>
      <c r="B74" s="233" t="s">
        <v>209</v>
      </c>
      <c r="C74" s="195"/>
      <c r="D74" s="195"/>
      <c r="E74" s="195"/>
      <c r="F74" s="195"/>
      <c r="G74" s="196"/>
      <c r="H74" s="63">
        <v>2</v>
      </c>
      <c r="I74" s="64" t="s">
        <v>83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9"/>
      <c r="B75" s="248" t="s">
        <v>85</v>
      </c>
      <c r="C75" s="195"/>
      <c r="D75" s="195"/>
      <c r="E75" s="195"/>
      <c r="F75" s="195"/>
      <c r="G75" s="196"/>
      <c r="H75" s="65">
        <v>22</v>
      </c>
      <c r="I75" s="6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9"/>
      <c r="B76" s="248" t="s">
        <v>86</v>
      </c>
      <c r="C76" s="195"/>
      <c r="D76" s="195"/>
      <c r="E76" s="195"/>
      <c r="F76" s="195"/>
      <c r="G76" s="196"/>
      <c r="H76" s="66">
        <v>0.06</v>
      </c>
      <c r="I76" s="6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59" t="s">
        <v>6</v>
      </c>
      <c r="B77" s="233" t="s">
        <v>210</v>
      </c>
      <c r="C77" s="195"/>
      <c r="D77" s="195"/>
      <c r="E77" s="195"/>
      <c r="F77" s="195"/>
      <c r="G77" s="195"/>
      <c r="H77" s="195"/>
      <c r="I77" s="40">
        <f>ROUND(H79*H78*(1-H80),2)*1+ROUND(21.726*6*(1-H80),2)*0</f>
        <v>324.32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60"/>
      <c r="B78" s="248" t="s">
        <v>88</v>
      </c>
      <c r="C78" s="195"/>
      <c r="D78" s="195"/>
      <c r="E78" s="195"/>
      <c r="F78" s="195"/>
      <c r="G78" s="195"/>
      <c r="H78" s="67">
        <v>18.2</v>
      </c>
      <c r="I78" s="62" t="s">
        <v>83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59"/>
      <c r="B79" s="233" t="s">
        <v>211</v>
      </c>
      <c r="C79" s="195"/>
      <c r="D79" s="195"/>
      <c r="E79" s="195"/>
      <c r="F79" s="195"/>
      <c r="G79" s="195"/>
      <c r="H79" s="65">
        <v>22</v>
      </c>
      <c r="I79" s="6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60"/>
      <c r="B80" s="248" t="s">
        <v>91</v>
      </c>
      <c r="C80" s="195"/>
      <c r="D80" s="195"/>
      <c r="E80" s="195"/>
      <c r="F80" s="195"/>
      <c r="G80" s="196"/>
      <c r="H80" s="66">
        <v>0.19</v>
      </c>
      <c r="I80" s="6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60" t="s">
        <v>9</v>
      </c>
      <c r="B81" s="234" t="s">
        <v>93</v>
      </c>
      <c r="C81" s="195"/>
      <c r="D81" s="195"/>
      <c r="E81" s="195"/>
      <c r="F81" s="195"/>
      <c r="G81" s="195"/>
      <c r="H81" s="195"/>
      <c r="I81" s="68">
        <v>15.62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60" t="s">
        <v>11</v>
      </c>
      <c r="B82" s="234" t="s">
        <v>95</v>
      </c>
      <c r="C82" s="195"/>
      <c r="D82" s="195"/>
      <c r="E82" s="195"/>
      <c r="F82" s="195"/>
      <c r="G82" s="195"/>
      <c r="H82" s="195"/>
      <c r="I82" s="68"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60" t="s">
        <v>43</v>
      </c>
      <c r="B83" s="234" t="s">
        <v>96</v>
      </c>
      <c r="C83" s="195"/>
      <c r="D83" s="195"/>
      <c r="E83" s="195"/>
      <c r="F83" s="195"/>
      <c r="G83" s="195"/>
      <c r="H83" s="196"/>
      <c r="I83" s="68"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60" t="s">
        <v>71</v>
      </c>
      <c r="B84" s="270" t="s">
        <v>212</v>
      </c>
      <c r="C84" s="195"/>
      <c r="D84" s="195"/>
      <c r="E84" s="195"/>
      <c r="F84" s="195"/>
      <c r="G84" s="195"/>
      <c r="H84" s="195"/>
      <c r="I84" s="72"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73"/>
      <c r="B85" s="207" t="s">
        <v>58</v>
      </c>
      <c r="C85" s="195"/>
      <c r="D85" s="195"/>
      <c r="E85" s="195"/>
      <c r="F85" s="195"/>
      <c r="G85" s="195"/>
      <c r="H85" s="216"/>
      <c r="I85" s="42">
        <f>SUM(I72:I84)</f>
        <v>465.53999999999996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8.25" customHeight="1">
      <c r="A86" s="271"/>
      <c r="B86" s="195"/>
      <c r="C86" s="195"/>
      <c r="D86" s="195"/>
      <c r="E86" s="195"/>
      <c r="F86" s="195"/>
      <c r="G86" s="195"/>
      <c r="H86" s="195"/>
      <c r="I86" s="19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customHeight="1">
      <c r="A87" s="272" t="s">
        <v>98</v>
      </c>
      <c r="B87" s="195"/>
      <c r="C87" s="195"/>
      <c r="D87" s="195"/>
      <c r="E87" s="195"/>
      <c r="F87" s="195"/>
      <c r="G87" s="195"/>
      <c r="H87" s="195"/>
      <c r="I87" s="19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74">
        <v>2</v>
      </c>
      <c r="B88" s="273" t="s">
        <v>99</v>
      </c>
      <c r="C88" s="195"/>
      <c r="D88" s="195"/>
      <c r="E88" s="195"/>
      <c r="F88" s="195"/>
      <c r="G88" s="195"/>
      <c r="H88" s="196"/>
      <c r="I88" s="74" t="s">
        <v>55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9" t="s">
        <v>53</v>
      </c>
      <c r="B89" s="253" t="s">
        <v>213</v>
      </c>
      <c r="C89" s="195"/>
      <c r="D89" s="195"/>
      <c r="E89" s="195"/>
      <c r="F89" s="195"/>
      <c r="G89" s="195"/>
      <c r="H89" s="196"/>
      <c r="I89" s="75">
        <f>I54</f>
        <v>221.63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9" t="s">
        <v>61</v>
      </c>
      <c r="B90" s="253" t="s">
        <v>62</v>
      </c>
      <c r="C90" s="195"/>
      <c r="D90" s="195"/>
      <c r="E90" s="195"/>
      <c r="F90" s="195"/>
      <c r="G90" s="195"/>
      <c r="H90" s="196"/>
      <c r="I90" s="75">
        <f>I66</f>
        <v>606.61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9" t="s">
        <v>79</v>
      </c>
      <c r="B91" s="253" t="s">
        <v>80</v>
      </c>
      <c r="C91" s="195"/>
      <c r="D91" s="195"/>
      <c r="E91" s="195"/>
      <c r="F91" s="195"/>
      <c r="G91" s="195"/>
      <c r="H91" s="196"/>
      <c r="I91" s="75">
        <f>I85</f>
        <v>465.53999999999996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262" t="s">
        <v>58</v>
      </c>
      <c r="B92" s="195"/>
      <c r="C92" s="195"/>
      <c r="D92" s="195"/>
      <c r="E92" s="195"/>
      <c r="F92" s="195"/>
      <c r="G92" s="195"/>
      <c r="H92" s="196"/>
      <c r="I92" s="78">
        <f>SUM(I89+I90+I91)</f>
        <v>1293.78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8.25" customHeight="1">
      <c r="A93" s="269"/>
      <c r="B93" s="195"/>
      <c r="C93" s="195"/>
      <c r="D93" s="195"/>
      <c r="E93" s="195"/>
      <c r="F93" s="195"/>
      <c r="G93" s="195"/>
      <c r="H93" s="195"/>
      <c r="I93" s="19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246" t="s">
        <v>101</v>
      </c>
      <c r="B94" s="195"/>
      <c r="C94" s="195"/>
      <c r="D94" s="195"/>
      <c r="E94" s="195"/>
      <c r="F94" s="195"/>
      <c r="G94" s="195"/>
      <c r="H94" s="195"/>
      <c r="I94" s="19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58">
        <v>3</v>
      </c>
      <c r="B95" s="247" t="s">
        <v>102</v>
      </c>
      <c r="C95" s="195"/>
      <c r="D95" s="195"/>
      <c r="E95" s="195"/>
      <c r="F95" s="195"/>
      <c r="G95" s="195"/>
      <c r="H95" s="196"/>
      <c r="I95" s="58" t="s">
        <v>55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8.25" customHeight="1">
      <c r="A96" s="59" t="s">
        <v>4</v>
      </c>
      <c r="B96" s="233" t="s">
        <v>214</v>
      </c>
      <c r="C96" s="195"/>
      <c r="D96" s="195"/>
      <c r="E96" s="195"/>
      <c r="F96" s="195"/>
      <c r="G96" s="195"/>
      <c r="H96" s="196"/>
      <c r="I96" s="40">
        <f>ROUND(((I38/12)+($I$50/12)+(I38/12/12)+($I$51/12))*(30/30)*0.05,2)</f>
        <v>7.12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60" t="s">
        <v>6</v>
      </c>
      <c r="B97" s="270" t="s">
        <v>105</v>
      </c>
      <c r="C97" s="195"/>
      <c r="D97" s="195"/>
      <c r="E97" s="195"/>
      <c r="F97" s="195"/>
      <c r="G97" s="195"/>
      <c r="H97" s="196"/>
      <c r="I97" s="81">
        <f>ROUND(H65*I96,2)</f>
        <v>0.56999999999999995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60" t="s">
        <v>9</v>
      </c>
      <c r="B98" s="270" t="s">
        <v>106</v>
      </c>
      <c r="C98" s="195"/>
      <c r="D98" s="195"/>
      <c r="E98" s="195"/>
      <c r="F98" s="195"/>
      <c r="G98" s="195"/>
      <c r="H98" s="196"/>
      <c r="I98" s="82">
        <f>(40%*8%*(I38+I50+I51+I110)*5%)</f>
        <v>2.7491840000000001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9" t="s">
        <v>11</v>
      </c>
      <c r="B99" s="233" t="s">
        <v>215</v>
      </c>
      <c r="C99" s="195"/>
      <c r="D99" s="195"/>
      <c r="E99" s="195"/>
      <c r="F99" s="195"/>
      <c r="G99" s="195"/>
      <c r="H99" s="196"/>
      <c r="I99" s="84">
        <f>ROUND(((7/30)/$H$11)*I38*1,2)</f>
        <v>16.649999999999999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9" t="s">
        <v>43</v>
      </c>
      <c r="B100" s="250" t="s">
        <v>108</v>
      </c>
      <c r="C100" s="195"/>
      <c r="D100" s="195"/>
      <c r="E100" s="195"/>
      <c r="F100" s="195"/>
      <c r="G100" s="195"/>
      <c r="H100" s="196"/>
      <c r="I100" s="40">
        <f>ROUND($H$66*I99,2)</f>
        <v>6.13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0.5" customHeight="1">
      <c r="A101" s="60" t="s">
        <v>71</v>
      </c>
      <c r="B101" s="234" t="s">
        <v>216</v>
      </c>
      <c r="C101" s="195"/>
      <c r="D101" s="195"/>
      <c r="E101" s="195"/>
      <c r="F101" s="195"/>
      <c r="G101" s="196"/>
      <c r="H101" s="85">
        <v>0.04</v>
      </c>
      <c r="I101" s="68">
        <f>(40%*8%*(I38+I50+I51+I110)*100%)</f>
        <v>54.98368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07" t="s">
        <v>110</v>
      </c>
      <c r="B102" s="195"/>
      <c r="C102" s="195"/>
      <c r="D102" s="195"/>
      <c r="E102" s="195"/>
      <c r="F102" s="195"/>
      <c r="G102" s="195"/>
      <c r="H102" s="196"/>
      <c r="I102" s="42">
        <f>SUM(I96:I101)</f>
        <v>88.202864000000005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" customHeight="1">
      <c r="A103" s="208"/>
      <c r="B103" s="195"/>
      <c r="C103" s="195"/>
      <c r="D103" s="195"/>
      <c r="E103" s="195"/>
      <c r="F103" s="195"/>
      <c r="G103" s="195"/>
      <c r="H103" s="195"/>
      <c r="I103" s="19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251" t="s">
        <v>111</v>
      </c>
      <c r="B104" s="195"/>
      <c r="C104" s="195"/>
      <c r="D104" s="195"/>
      <c r="E104" s="195"/>
      <c r="F104" s="195"/>
      <c r="G104" s="195"/>
      <c r="H104" s="195"/>
      <c r="I104" s="19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266" t="s">
        <v>112</v>
      </c>
      <c r="B105" s="195"/>
      <c r="C105" s="195"/>
      <c r="D105" s="195"/>
      <c r="E105" s="195"/>
      <c r="F105" s="195"/>
      <c r="G105" s="195"/>
      <c r="H105" s="195"/>
      <c r="I105" s="19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78" customHeight="1">
      <c r="A106" s="267" t="s">
        <v>217</v>
      </c>
      <c r="B106" s="195"/>
      <c r="C106" s="195"/>
      <c r="D106" s="195"/>
      <c r="E106" s="195"/>
      <c r="F106" s="195"/>
      <c r="G106" s="195"/>
      <c r="H106" s="196"/>
      <c r="I106" s="87">
        <f>I38+I50+I51+I110</f>
        <v>1718.24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7.5" customHeight="1">
      <c r="A107" s="268"/>
      <c r="B107" s="195"/>
      <c r="C107" s="195"/>
      <c r="D107" s="195"/>
      <c r="E107" s="195"/>
      <c r="F107" s="195"/>
      <c r="G107" s="195"/>
      <c r="H107" s="195"/>
      <c r="I107" s="19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218" t="s">
        <v>114</v>
      </c>
      <c r="B108" s="195"/>
      <c r="C108" s="195"/>
      <c r="D108" s="195"/>
      <c r="E108" s="195"/>
      <c r="F108" s="195"/>
      <c r="G108" s="195"/>
      <c r="H108" s="195"/>
      <c r="I108" s="19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89" t="s">
        <v>115</v>
      </c>
      <c r="B109" s="247" t="s">
        <v>116</v>
      </c>
      <c r="C109" s="195"/>
      <c r="D109" s="195"/>
      <c r="E109" s="195"/>
      <c r="F109" s="195"/>
      <c r="G109" s="195"/>
      <c r="H109" s="196"/>
      <c r="I109" s="89" t="s">
        <v>55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1.5" customHeight="1">
      <c r="A110" s="90" t="s">
        <v>4</v>
      </c>
      <c r="B110" s="253" t="s">
        <v>218</v>
      </c>
      <c r="C110" s="195"/>
      <c r="D110" s="195"/>
      <c r="E110" s="195"/>
      <c r="F110" s="195"/>
      <c r="G110" s="196"/>
      <c r="H110" s="91">
        <v>9.0749999999999997E-2</v>
      </c>
      <c r="I110" s="92">
        <f>ROUND(I38*H110,2)</f>
        <v>129.47999999999999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9" t="s">
        <v>6</v>
      </c>
      <c r="B111" s="233" t="s">
        <v>219</v>
      </c>
      <c r="C111" s="195"/>
      <c r="D111" s="195"/>
      <c r="E111" s="195"/>
      <c r="F111" s="195"/>
      <c r="G111" s="195"/>
      <c r="H111" s="196"/>
      <c r="I111" s="40">
        <f>ROUND((2.96/30)/12*($I$106),2)</f>
        <v>14.13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9" t="s">
        <v>9</v>
      </c>
      <c r="B112" s="233" t="s">
        <v>220</v>
      </c>
      <c r="C112" s="195"/>
      <c r="D112" s="195"/>
      <c r="E112" s="195"/>
      <c r="F112" s="195"/>
      <c r="G112" s="195"/>
      <c r="H112" s="196"/>
      <c r="I112" s="40">
        <f>ROUND((5/30)/12*0.015*($I$106),2)</f>
        <v>0.36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9" t="s">
        <v>11</v>
      </c>
      <c r="B113" s="233" t="s">
        <v>221</v>
      </c>
      <c r="C113" s="195"/>
      <c r="D113" s="195"/>
      <c r="E113" s="195"/>
      <c r="F113" s="195"/>
      <c r="G113" s="195"/>
      <c r="H113" s="196"/>
      <c r="I113" s="40">
        <f>ROUND(((15/30)/12)*0.0078*($I$106),2)</f>
        <v>0.56000000000000005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9" t="s">
        <v>43</v>
      </c>
      <c r="B114" s="233" t="s">
        <v>222</v>
      </c>
      <c r="C114" s="195"/>
      <c r="D114" s="195"/>
      <c r="E114" s="195"/>
      <c r="F114" s="195"/>
      <c r="G114" s="195"/>
      <c r="H114" s="196"/>
      <c r="I114" s="40">
        <f>ROUND((1+1/3)/12*(4/12)*0.02*(I38),2)</f>
        <v>1.06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9" t="s">
        <v>71</v>
      </c>
      <c r="B115" s="233" t="s">
        <v>223</v>
      </c>
      <c r="C115" s="195"/>
      <c r="D115" s="195"/>
      <c r="E115" s="195"/>
      <c r="F115" s="195"/>
      <c r="G115" s="195"/>
      <c r="H115" s="196"/>
      <c r="I115" s="40">
        <f>ROUND(((3/30)/12)*($I$106),2)</f>
        <v>14.32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07" t="s">
        <v>58</v>
      </c>
      <c r="B116" s="195"/>
      <c r="C116" s="195"/>
      <c r="D116" s="195"/>
      <c r="E116" s="195"/>
      <c r="F116" s="195"/>
      <c r="G116" s="195"/>
      <c r="H116" s="196"/>
      <c r="I116" s="42">
        <f>SUM(I110:I115)</f>
        <v>159.91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1" t="s">
        <v>73</v>
      </c>
      <c r="B117" s="263" t="s">
        <v>123</v>
      </c>
      <c r="C117" s="195"/>
      <c r="D117" s="195"/>
      <c r="E117" s="195"/>
      <c r="F117" s="195"/>
      <c r="G117" s="195"/>
      <c r="H117" s="196"/>
      <c r="I117" s="41">
        <f>ROUND(H66*I116,2)</f>
        <v>58.85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07" t="s">
        <v>58</v>
      </c>
      <c r="B118" s="195"/>
      <c r="C118" s="195"/>
      <c r="D118" s="195"/>
      <c r="E118" s="195"/>
      <c r="F118" s="195"/>
      <c r="G118" s="195"/>
      <c r="H118" s="196"/>
      <c r="I118" s="42">
        <f>SUM(I116:I117)</f>
        <v>218.76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" customHeight="1">
      <c r="A119" s="264"/>
      <c r="B119" s="195"/>
      <c r="C119" s="195"/>
      <c r="D119" s="195"/>
      <c r="E119" s="195"/>
      <c r="F119" s="195"/>
      <c r="G119" s="195"/>
      <c r="H119" s="195"/>
      <c r="I119" s="19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49" t="s">
        <v>124</v>
      </c>
      <c r="B120" s="195"/>
      <c r="C120" s="195"/>
      <c r="D120" s="195"/>
      <c r="E120" s="195"/>
      <c r="F120" s="195"/>
      <c r="G120" s="195"/>
      <c r="H120" s="195"/>
      <c r="I120" s="19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94" t="s">
        <v>125</v>
      </c>
      <c r="B121" s="260" t="s">
        <v>126</v>
      </c>
      <c r="C121" s="195"/>
      <c r="D121" s="195"/>
      <c r="E121" s="195"/>
      <c r="F121" s="195"/>
      <c r="G121" s="195"/>
      <c r="H121" s="196"/>
      <c r="I121" s="95" t="s">
        <v>55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96" t="s">
        <v>4</v>
      </c>
      <c r="B122" s="253" t="s">
        <v>224</v>
      </c>
      <c r="C122" s="195"/>
      <c r="D122" s="195"/>
      <c r="E122" s="195"/>
      <c r="F122" s="195"/>
      <c r="G122" s="195"/>
      <c r="H122" s="196"/>
      <c r="I122" s="97">
        <f>ROUND(H25*1.3*0.5*1.1428571*30*1.2*1.2,2)*0</f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" t="s">
        <v>6</v>
      </c>
      <c r="B123" s="233" t="s">
        <v>225</v>
      </c>
      <c r="C123" s="195"/>
      <c r="D123" s="195"/>
      <c r="E123" s="195"/>
      <c r="F123" s="195"/>
      <c r="G123" s="195"/>
      <c r="H123" s="196"/>
      <c r="I123" s="18">
        <f>ROUND(H28*H29*1.3*15,2)*0</f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"/>
      <c r="B124" s="265" t="s">
        <v>129</v>
      </c>
      <c r="C124" s="195"/>
      <c r="D124" s="195"/>
      <c r="E124" s="195"/>
      <c r="F124" s="195"/>
      <c r="G124" s="195"/>
      <c r="H124" s="196"/>
      <c r="I124" s="18">
        <f>I122+I123</f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96" t="s">
        <v>9</v>
      </c>
      <c r="B125" s="253" t="s">
        <v>226</v>
      </c>
      <c r="C125" s="195"/>
      <c r="D125" s="195"/>
      <c r="E125" s="195"/>
      <c r="F125" s="195"/>
      <c r="G125" s="195"/>
      <c r="H125" s="196"/>
      <c r="I125" s="97">
        <f>ROUND(I124/12,2)+ROUND(I124/3/12,2)</f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56" t="s">
        <v>131</v>
      </c>
      <c r="B126" s="195"/>
      <c r="C126" s="195"/>
      <c r="D126" s="195"/>
      <c r="E126" s="195"/>
      <c r="F126" s="195"/>
      <c r="G126" s="195"/>
      <c r="H126" s="196"/>
      <c r="I126" s="97">
        <f>I124+I125</f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98" t="s">
        <v>6</v>
      </c>
      <c r="B127" s="253" t="s">
        <v>132</v>
      </c>
      <c r="C127" s="195"/>
      <c r="D127" s="195"/>
      <c r="E127" s="195"/>
      <c r="F127" s="195"/>
      <c r="G127" s="195"/>
      <c r="H127" s="196"/>
      <c r="I127" s="99">
        <f>ROUND(H66*I126,2)</f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57" t="s">
        <v>58</v>
      </c>
      <c r="B128" s="195"/>
      <c r="C128" s="195"/>
      <c r="D128" s="195"/>
      <c r="E128" s="195"/>
      <c r="F128" s="195"/>
      <c r="G128" s="195"/>
      <c r="H128" s="196"/>
      <c r="I128" s="100">
        <f>SUM(I126:I127)</f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7.5" customHeight="1">
      <c r="A129" s="258"/>
      <c r="B129" s="195"/>
      <c r="C129" s="195"/>
      <c r="D129" s="195"/>
      <c r="E129" s="195"/>
      <c r="F129" s="195"/>
      <c r="G129" s="195"/>
      <c r="H129" s="195"/>
      <c r="I129" s="19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59" t="s">
        <v>133</v>
      </c>
      <c r="B130" s="195"/>
      <c r="C130" s="195"/>
      <c r="D130" s="195"/>
      <c r="E130" s="195"/>
      <c r="F130" s="195"/>
      <c r="G130" s="195"/>
      <c r="H130" s="195"/>
      <c r="I130" s="19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>
      <c r="A131" s="74">
        <v>4</v>
      </c>
      <c r="B131" s="260" t="s">
        <v>134</v>
      </c>
      <c r="C131" s="195"/>
      <c r="D131" s="195"/>
      <c r="E131" s="195"/>
      <c r="F131" s="195"/>
      <c r="G131" s="195"/>
      <c r="H131" s="196"/>
      <c r="I131" s="95" t="s">
        <v>55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9" t="s">
        <v>115</v>
      </c>
      <c r="B132" s="261" t="s">
        <v>116</v>
      </c>
      <c r="C132" s="195"/>
      <c r="D132" s="195"/>
      <c r="E132" s="195"/>
      <c r="F132" s="195"/>
      <c r="G132" s="195"/>
      <c r="H132" s="196"/>
      <c r="I132" s="97">
        <f>I118</f>
        <v>218.76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9" t="s">
        <v>135</v>
      </c>
      <c r="B133" s="261" t="s">
        <v>126</v>
      </c>
      <c r="C133" s="195"/>
      <c r="D133" s="195"/>
      <c r="E133" s="195"/>
      <c r="F133" s="195"/>
      <c r="G133" s="195"/>
      <c r="H133" s="196"/>
      <c r="I133" s="97">
        <f>I128</f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62" t="s">
        <v>58</v>
      </c>
      <c r="B134" s="195"/>
      <c r="C134" s="195"/>
      <c r="D134" s="195"/>
      <c r="E134" s="195"/>
      <c r="F134" s="195"/>
      <c r="G134" s="195"/>
      <c r="H134" s="196"/>
      <c r="I134" s="100">
        <f>SUM(I132+I133)</f>
        <v>218.76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7.5" customHeight="1">
      <c r="A135" s="208"/>
      <c r="B135" s="195"/>
      <c r="C135" s="195"/>
      <c r="D135" s="195"/>
      <c r="E135" s="195"/>
      <c r="F135" s="195"/>
      <c r="G135" s="195"/>
      <c r="H135" s="195"/>
      <c r="I135" s="19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51" t="s">
        <v>136</v>
      </c>
      <c r="B136" s="195"/>
      <c r="C136" s="195"/>
      <c r="D136" s="195"/>
      <c r="E136" s="195"/>
      <c r="F136" s="195"/>
      <c r="G136" s="195"/>
      <c r="H136" s="195"/>
      <c r="I136" s="19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>
      <c r="A137" s="58">
        <v>3</v>
      </c>
      <c r="B137" s="252" t="s">
        <v>137</v>
      </c>
      <c r="C137" s="195"/>
      <c r="D137" s="195"/>
      <c r="E137" s="195"/>
      <c r="F137" s="195"/>
      <c r="G137" s="195"/>
      <c r="H137" s="196"/>
      <c r="I137" s="58" t="s">
        <v>55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96" t="s">
        <v>4</v>
      </c>
      <c r="B138" s="253" t="s">
        <v>138</v>
      </c>
      <c r="C138" s="195"/>
      <c r="D138" s="195"/>
      <c r="E138" s="195"/>
      <c r="F138" s="195"/>
      <c r="G138" s="195"/>
      <c r="H138" s="196"/>
      <c r="I138" s="97">
        <f>'INSUMOS - Gravataí'!G33</f>
        <v>99.81750000000001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96" t="s">
        <v>6</v>
      </c>
      <c r="B139" s="253" t="s">
        <v>139</v>
      </c>
      <c r="C139" s="195"/>
      <c r="D139" s="195"/>
      <c r="E139" s="195"/>
      <c r="F139" s="195"/>
      <c r="G139" s="195"/>
      <c r="H139" s="196"/>
      <c r="I139" s="75">
        <f>'INSUMOS - Gravataí'!F30</f>
        <v>7.2379999999999995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96" t="s">
        <v>9</v>
      </c>
      <c r="B140" s="253" t="s">
        <v>140</v>
      </c>
      <c r="C140" s="195"/>
      <c r="D140" s="195"/>
      <c r="E140" s="195"/>
      <c r="F140" s="195"/>
      <c r="G140" s="195"/>
      <c r="H140" s="196"/>
      <c r="I140" s="75" t="s">
        <v>141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07" t="s">
        <v>131</v>
      </c>
      <c r="B141" s="195"/>
      <c r="C141" s="195"/>
      <c r="D141" s="195"/>
      <c r="E141" s="195"/>
      <c r="F141" s="195"/>
      <c r="G141" s="195"/>
      <c r="H141" s="196"/>
      <c r="I141" s="103">
        <f>ROUND(SUM(I138:I140),2)</f>
        <v>107.06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7.5" customHeight="1">
      <c r="A142" s="254"/>
      <c r="B142" s="195"/>
      <c r="C142" s="195"/>
      <c r="D142" s="195"/>
      <c r="E142" s="195"/>
      <c r="F142" s="195"/>
      <c r="G142" s="195"/>
      <c r="H142" s="195"/>
      <c r="I142" s="19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55" t="s">
        <v>142</v>
      </c>
      <c r="B143" s="195"/>
      <c r="C143" s="195"/>
      <c r="D143" s="195"/>
      <c r="E143" s="195"/>
      <c r="F143" s="195"/>
      <c r="G143" s="195"/>
      <c r="H143" s="195"/>
      <c r="I143" s="19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6.75" customHeight="1">
      <c r="A144" s="105"/>
      <c r="B144" s="106"/>
      <c r="C144" s="106"/>
      <c r="D144" s="106"/>
      <c r="E144" s="106"/>
      <c r="F144" s="106"/>
      <c r="G144" s="106"/>
      <c r="H144" s="106"/>
      <c r="I144" s="10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46" t="s">
        <v>143</v>
      </c>
      <c r="B145" s="195"/>
      <c r="C145" s="195"/>
      <c r="D145" s="195"/>
      <c r="E145" s="195"/>
      <c r="F145" s="195"/>
      <c r="G145" s="195"/>
      <c r="H145" s="195"/>
      <c r="I145" s="19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>
      <c r="A146" s="58">
        <v>6</v>
      </c>
      <c r="B146" s="247" t="s">
        <v>144</v>
      </c>
      <c r="C146" s="195"/>
      <c r="D146" s="195"/>
      <c r="E146" s="195"/>
      <c r="F146" s="195"/>
      <c r="G146" s="196"/>
      <c r="H146" s="44" t="s">
        <v>37</v>
      </c>
      <c r="I146" s="108" t="s">
        <v>63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48" t="s">
        <v>145</v>
      </c>
      <c r="B147" s="195"/>
      <c r="C147" s="195"/>
      <c r="D147" s="195"/>
      <c r="E147" s="195"/>
      <c r="F147" s="195"/>
      <c r="G147" s="196"/>
      <c r="H147" s="109" t="s">
        <v>83</v>
      </c>
      <c r="I147" s="110">
        <f>SUM(I43+I92+I102+I134+I141)</f>
        <v>3134.5528639999998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96" t="s">
        <v>4</v>
      </c>
      <c r="B148" s="249" t="s">
        <v>146</v>
      </c>
      <c r="C148" s="195"/>
      <c r="D148" s="195"/>
      <c r="E148" s="195"/>
      <c r="F148" s="195"/>
      <c r="G148" s="196"/>
      <c r="H148" s="111">
        <v>0.06</v>
      </c>
      <c r="I148" s="97">
        <f>ROUND(H148*I147,2)</f>
        <v>188.07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48" t="s">
        <v>147</v>
      </c>
      <c r="B149" s="195"/>
      <c r="C149" s="195"/>
      <c r="D149" s="195"/>
      <c r="E149" s="195"/>
      <c r="F149" s="195"/>
      <c r="G149" s="196"/>
      <c r="H149" s="113" t="s">
        <v>83</v>
      </c>
      <c r="I149" s="110">
        <f>SUM(I43+I92+I102+I134+I141+I148)</f>
        <v>3322.6228639999999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59" t="s">
        <v>6</v>
      </c>
      <c r="B150" s="249" t="s">
        <v>148</v>
      </c>
      <c r="C150" s="195"/>
      <c r="D150" s="195"/>
      <c r="E150" s="195"/>
      <c r="F150" s="195"/>
      <c r="G150" s="196"/>
      <c r="H150" s="111">
        <v>6.7900000000000002E-2</v>
      </c>
      <c r="I150" s="97">
        <f>ROUND(H150*I149,2)</f>
        <v>225.61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48" t="s">
        <v>149</v>
      </c>
      <c r="B151" s="195"/>
      <c r="C151" s="195"/>
      <c r="D151" s="195"/>
      <c r="E151" s="195"/>
      <c r="F151" s="195"/>
      <c r="G151" s="196"/>
      <c r="H151" s="113" t="s">
        <v>83</v>
      </c>
      <c r="I151" s="110">
        <f>SUM(I43+I92+I102+I134+I141+I148+I150)</f>
        <v>3548.2328640000001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15" t="s">
        <v>9</v>
      </c>
      <c r="B152" s="246" t="s">
        <v>150</v>
      </c>
      <c r="C152" s="195"/>
      <c r="D152" s="195"/>
      <c r="E152" s="195"/>
      <c r="F152" s="195"/>
      <c r="G152" s="196"/>
      <c r="H152" s="116" t="s">
        <v>83</v>
      </c>
      <c r="I152" s="64" t="s">
        <v>83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9"/>
      <c r="B153" s="250" t="s">
        <v>151</v>
      </c>
      <c r="C153" s="195"/>
      <c r="D153" s="195"/>
      <c r="E153" s="195"/>
      <c r="F153" s="195"/>
      <c r="G153" s="196"/>
      <c r="H153" s="116" t="s">
        <v>83</v>
      </c>
      <c r="I153" s="64" t="s">
        <v>83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60"/>
      <c r="B154" s="232" t="s">
        <v>227</v>
      </c>
      <c r="C154" s="195"/>
      <c r="D154" s="195"/>
      <c r="E154" s="195"/>
      <c r="F154" s="195"/>
      <c r="G154" s="196"/>
      <c r="H154" s="117">
        <v>7.5999999999999998E-2</v>
      </c>
      <c r="I154" s="118">
        <f t="shared" ref="I154:I155" si="1">ROUND(($I$151/(1-$H$163))*H154,2)</f>
        <v>309.07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60"/>
      <c r="B155" s="232" t="s">
        <v>228</v>
      </c>
      <c r="C155" s="195"/>
      <c r="D155" s="195"/>
      <c r="E155" s="195"/>
      <c r="F155" s="195"/>
      <c r="G155" s="196"/>
      <c r="H155" s="117">
        <v>1.6500000000000001E-2</v>
      </c>
      <c r="I155" s="118">
        <f t="shared" si="1"/>
        <v>67.099999999999994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9"/>
      <c r="B156" s="233" t="s">
        <v>229</v>
      </c>
      <c r="C156" s="195"/>
      <c r="D156" s="195"/>
      <c r="E156" s="195"/>
      <c r="F156" s="195"/>
      <c r="G156" s="196"/>
      <c r="H156" s="120" t="s">
        <v>83</v>
      </c>
      <c r="I156" s="64" t="s">
        <v>83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9"/>
      <c r="B157" s="233" t="s">
        <v>155</v>
      </c>
      <c r="C157" s="195"/>
      <c r="D157" s="195"/>
      <c r="E157" s="195"/>
      <c r="F157" s="195"/>
      <c r="G157" s="196"/>
      <c r="H157" s="120" t="s">
        <v>83</v>
      </c>
      <c r="I157" s="64" t="s">
        <v>83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9"/>
      <c r="B158" s="233" t="s">
        <v>156</v>
      </c>
      <c r="C158" s="195"/>
      <c r="D158" s="195"/>
      <c r="E158" s="195"/>
      <c r="F158" s="195"/>
      <c r="G158" s="195"/>
      <c r="H158" s="120" t="s">
        <v>83</v>
      </c>
      <c r="I158" s="64" t="s">
        <v>83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9"/>
      <c r="B159" s="233" t="s">
        <v>157</v>
      </c>
      <c r="C159" s="195"/>
      <c r="D159" s="195"/>
      <c r="E159" s="195"/>
      <c r="F159" s="195"/>
      <c r="G159" s="195"/>
      <c r="H159" s="120" t="s">
        <v>83</v>
      </c>
      <c r="I159" s="64" t="s">
        <v>83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60"/>
      <c r="B160" s="234" t="s">
        <v>230</v>
      </c>
      <c r="C160" s="195"/>
      <c r="D160" s="195"/>
      <c r="E160" s="195"/>
      <c r="F160" s="195"/>
      <c r="G160" s="196"/>
      <c r="H160" s="117">
        <v>3.5000000000000003E-2</v>
      </c>
      <c r="I160" s="118">
        <f>ROUND(($I$151/(1-$H$163))*H160,2)</f>
        <v>142.34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07" t="s">
        <v>110</v>
      </c>
      <c r="B161" s="195"/>
      <c r="C161" s="195"/>
      <c r="D161" s="195"/>
      <c r="E161" s="195"/>
      <c r="F161" s="195"/>
      <c r="G161" s="195"/>
      <c r="H161" s="196"/>
      <c r="I161" s="42">
        <f>SUM(I148+I150+I154+I155+I160)</f>
        <v>932.19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.75" customHeight="1">
      <c r="A162" s="208"/>
      <c r="B162" s="195"/>
      <c r="C162" s="195"/>
      <c r="D162" s="195"/>
      <c r="E162" s="195"/>
      <c r="F162" s="195"/>
      <c r="G162" s="195"/>
      <c r="H162" s="195"/>
      <c r="I162" s="19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09" t="s">
        <v>159</v>
      </c>
      <c r="B163" s="195"/>
      <c r="C163" s="195"/>
      <c r="D163" s="195"/>
      <c r="E163" s="195"/>
      <c r="F163" s="195"/>
      <c r="G163" s="196"/>
      <c r="H163" s="122">
        <f t="shared" ref="H163:I163" si="2">SUM(H154:H160)</f>
        <v>0.1275</v>
      </c>
      <c r="I163" s="110">
        <f t="shared" si="2"/>
        <v>518.51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10" t="s">
        <v>160</v>
      </c>
      <c r="B164" s="189"/>
      <c r="C164" s="212" t="s">
        <v>161</v>
      </c>
      <c r="D164" s="189"/>
      <c r="E164" s="189"/>
      <c r="F164" s="189"/>
      <c r="G164" s="189"/>
      <c r="H164" s="189"/>
      <c r="I164" s="18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211"/>
      <c r="B165" s="189"/>
      <c r="C165" s="213" t="s">
        <v>162</v>
      </c>
      <c r="D165" s="189"/>
      <c r="E165" s="189"/>
      <c r="F165" s="189"/>
      <c r="G165" s="189"/>
      <c r="H165" s="189"/>
      <c r="I165" s="18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91"/>
      <c r="B166" s="192"/>
      <c r="C166" s="214" t="s">
        <v>163</v>
      </c>
      <c r="D166" s="192"/>
      <c r="E166" s="192"/>
      <c r="F166" s="192"/>
      <c r="G166" s="192"/>
      <c r="H166" s="192"/>
      <c r="I166" s="19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6.75" customHeight="1">
      <c r="A167" s="215"/>
      <c r="B167" s="195"/>
      <c r="C167" s="195"/>
      <c r="D167" s="195"/>
      <c r="E167" s="195"/>
      <c r="F167" s="195"/>
      <c r="G167" s="195"/>
      <c r="H167" s="195"/>
      <c r="I167" s="2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217" t="s">
        <v>164</v>
      </c>
      <c r="B168" s="195"/>
      <c r="C168" s="195"/>
      <c r="D168" s="195"/>
      <c r="E168" s="195"/>
      <c r="F168" s="195"/>
      <c r="G168" s="195"/>
      <c r="H168" s="195"/>
      <c r="I168" s="19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5.25" customHeight="1">
      <c r="A169" s="208"/>
      <c r="B169" s="195"/>
      <c r="C169" s="195"/>
      <c r="D169" s="195"/>
      <c r="E169" s="195"/>
      <c r="F169" s="195"/>
      <c r="G169" s="195"/>
      <c r="H169" s="195"/>
      <c r="I169" s="19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18" t="s">
        <v>165</v>
      </c>
      <c r="B170" s="195"/>
      <c r="C170" s="195"/>
      <c r="D170" s="195"/>
      <c r="E170" s="195"/>
      <c r="F170" s="195"/>
      <c r="G170" s="195"/>
      <c r="H170" s="195"/>
      <c r="I170" s="19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>
      <c r="A171" s="219" t="s">
        <v>166</v>
      </c>
      <c r="B171" s="195"/>
      <c r="C171" s="195"/>
      <c r="D171" s="195"/>
      <c r="E171" s="195"/>
      <c r="F171" s="195"/>
      <c r="G171" s="195"/>
      <c r="H171" s="196"/>
      <c r="I171" s="44" t="s">
        <v>55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>
      <c r="A172" s="123" t="s">
        <v>4</v>
      </c>
      <c r="B172" s="220" t="s">
        <v>167</v>
      </c>
      <c r="C172" s="195"/>
      <c r="D172" s="195"/>
      <c r="E172" s="195"/>
      <c r="F172" s="195"/>
      <c r="G172" s="195"/>
      <c r="H172" s="195"/>
      <c r="I172" s="124">
        <f>I43</f>
        <v>1426.75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>
      <c r="A173" s="123" t="s">
        <v>6</v>
      </c>
      <c r="B173" s="220" t="s">
        <v>168</v>
      </c>
      <c r="C173" s="195"/>
      <c r="D173" s="195"/>
      <c r="E173" s="195"/>
      <c r="F173" s="195"/>
      <c r="G173" s="195"/>
      <c r="H173" s="195"/>
      <c r="I173" s="124">
        <f>I92</f>
        <v>1293.78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>
      <c r="A174" s="123" t="s">
        <v>9</v>
      </c>
      <c r="B174" s="220" t="s">
        <v>169</v>
      </c>
      <c r="C174" s="195"/>
      <c r="D174" s="195"/>
      <c r="E174" s="195"/>
      <c r="F174" s="195"/>
      <c r="G174" s="195"/>
      <c r="H174" s="195"/>
      <c r="I174" s="124">
        <f>I102</f>
        <v>88.202864000000005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>
      <c r="A175" s="123" t="s">
        <v>11</v>
      </c>
      <c r="B175" s="220" t="s">
        <v>170</v>
      </c>
      <c r="C175" s="195"/>
      <c r="D175" s="195"/>
      <c r="E175" s="195"/>
      <c r="F175" s="195"/>
      <c r="G175" s="195"/>
      <c r="H175" s="195"/>
      <c r="I175" s="124">
        <f>I134</f>
        <v>218.76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>
      <c r="A176" s="123" t="s">
        <v>43</v>
      </c>
      <c r="B176" s="220" t="s">
        <v>171</v>
      </c>
      <c r="C176" s="195"/>
      <c r="D176" s="195"/>
      <c r="E176" s="195"/>
      <c r="F176" s="195"/>
      <c r="G176" s="195"/>
      <c r="H176" s="195"/>
      <c r="I176" s="124">
        <f>I141</f>
        <v>107.06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>
      <c r="A177" s="221" t="s">
        <v>172</v>
      </c>
      <c r="B177" s="195"/>
      <c r="C177" s="195"/>
      <c r="D177" s="195"/>
      <c r="E177" s="195"/>
      <c r="F177" s="195"/>
      <c r="G177" s="195"/>
      <c r="H177" s="216"/>
      <c r="I177" s="124">
        <f>SUM(I172:I176)</f>
        <v>3134.5528639999998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>
      <c r="A178" s="125" t="s">
        <v>71</v>
      </c>
      <c r="B178" s="220" t="s">
        <v>143</v>
      </c>
      <c r="C178" s="195"/>
      <c r="D178" s="195"/>
      <c r="E178" s="195"/>
      <c r="F178" s="195"/>
      <c r="G178" s="195"/>
      <c r="H178" s="195"/>
      <c r="I178" s="103">
        <f>I161</f>
        <v>932.19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>
      <c r="A179" s="221" t="s">
        <v>173</v>
      </c>
      <c r="B179" s="195"/>
      <c r="C179" s="195"/>
      <c r="D179" s="195"/>
      <c r="E179" s="195"/>
      <c r="F179" s="195"/>
      <c r="G179" s="195"/>
      <c r="H179" s="216"/>
      <c r="I179" s="124">
        <f>I177+I178</f>
        <v>4066.7428639999998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7.5" customHeight="1">
      <c r="A180" s="222"/>
      <c r="B180" s="195"/>
      <c r="C180" s="195"/>
      <c r="D180" s="195"/>
      <c r="E180" s="195"/>
      <c r="F180" s="195"/>
      <c r="G180" s="195"/>
      <c r="H180" s="195"/>
      <c r="I180" s="19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hidden="1" customHeight="1">
      <c r="A181" s="126"/>
      <c r="B181" s="126"/>
      <c r="C181" s="126"/>
      <c r="D181" s="126"/>
      <c r="E181" s="126"/>
      <c r="F181" s="126"/>
      <c r="G181" s="126"/>
      <c r="H181" s="127"/>
      <c r="I181" s="12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1.5" customHeight="1">
      <c r="A182" s="241" t="s">
        <v>174</v>
      </c>
      <c r="B182" s="189"/>
      <c r="C182" s="189"/>
      <c r="D182" s="189"/>
      <c r="E182" s="189"/>
      <c r="F182" s="189"/>
      <c r="G182" s="189"/>
      <c r="H182" s="189"/>
      <c r="I182" s="18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customHeight="1">
      <c r="A183" s="242" t="s">
        <v>175</v>
      </c>
      <c r="B183" s="195"/>
      <c r="C183" s="195"/>
      <c r="D183" s="196"/>
      <c r="E183" s="242" t="s">
        <v>176</v>
      </c>
      <c r="F183" s="196"/>
      <c r="G183" s="44" t="s">
        <v>177</v>
      </c>
      <c r="H183" s="242" t="s">
        <v>178</v>
      </c>
      <c r="I183" s="196"/>
    </row>
    <row r="184" spans="1:26" ht="12.75" customHeight="1">
      <c r="A184" s="243" t="s">
        <v>179</v>
      </c>
      <c r="B184" s="195"/>
      <c r="C184" s="195"/>
      <c r="D184" s="196"/>
      <c r="E184" s="244">
        <f>I179</f>
        <v>4066.7428639999998</v>
      </c>
      <c r="F184" s="196"/>
      <c r="G184" s="131">
        <f>H14</f>
        <v>1</v>
      </c>
      <c r="H184" s="239">
        <f>E184*G184</f>
        <v>4066.7428639999998</v>
      </c>
      <c r="I184" s="196"/>
    </row>
    <row r="185" spans="1:26" ht="15.75" customHeight="1">
      <c r="A185" s="245" t="s">
        <v>180</v>
      </c>
      <c r="B185" s="195"/>
      <c r="C185" s="195"/>
      <c r="D185" s="195"/>
      <c r="E185" s="195"/>
      <c r="F185" s="196"/>
      <c r="G185" s="132">
        <f>SUM(G184)</f>
        <v>1</v>
      </c>
      <c r="H185" s="240">
        <f>SUM(H184:I184)</f>
        <v>4066.7428639999998</v>
      </c>
      <c r="I185" s="196"/>
    </row>
    <row r="186" spans="1:26" ht="6.75" customHeight="1">
      <c r="A186" s="235"/>
      <c r="B186" s="236"/>
      <c r="C186" s="236"/>
      <c r="D186" s="236"/>
      <c r="E186" s="236"/>
      <c r="F186" s="236"/>
      <c r="G186" s="236"/>
      <c r="H186" s="236"/>
      <c r="I186" s="237"/>
    </row>
    <row r="187" spans="1:26" ht="17.25" customHeight="1">
      <c r="A187" s="238" t="s">
        <v>181</v>
      </c>
      <c r="B187" s="192"/>
      <c r="C187" s="192"/>
      <c r="D187" s="192"/>
      <c r="E187" s="192"/>
      <c r="F187" s="192"/>
      <c r="G187" s="192"/>
      <c r="H187" s="192"/>
      <c r="I187" s="192"/>
    </row>
    <row r="188" spans="1:26" ht="6.75" customHeight="1">
      <c r="A188" s="223"/>
      <c r="B188" s="195"/>
      <c r="C188" s="195"/>
      <c r="D188" s="195"/>
      <c r="E188" s="195"/>
      <c r="F188" s="195"/>
      <c r="G188" s="195"/>
      <c r="H188" s="195"/>
      <c r="I188" s="19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224" t="s">
        <v>182</v>
      </c>
      <c r="B189" s="195"/>
      <c r="C189" s="195"/>
      <c r="D189" s="195"/>
      <c r="E189" s="195"/>
      <c r="F189" s="196"/>
      <c r="G189" s="225">
        <f>$H$185</f>
        <v>4066.7428639999998</v>
      </c>
      <c r="H189" s="195"/>
      <c r="I189" s="19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8.25" customHeight="1">
      <c r="A190" s="226"/>
      <c r="B190" s="227"/>
      <c r="C190" s="227"/>
      <c r="D190" s="227"/>
      <c r="E190" s="227"/>
      <c r="F190" s="227"/>
      <c r="G190" s="227"/>
      <c r="H190" s="227"/>
      <c r="I190" s="22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224" t="s">
        <v>183</v>
      </c>
      <c r="B191" s="195"/>
      <c r="C191" s="195"/>
      <c r="D191" s="195"/>
      <c r="E191" s="195"/>
      <c r="F191" s="196"/>
      <c r="G191" s="229">
        <f>$H$11</f>
        <v>20</v>
      </c>
      <c r="H191" s="195"/>
      <c r="I191" s="19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8.25" customHeight="1">
      <c r="A192" s="230"/>
      <c r="B192" s="195"/>
      <c r="C192" s="195"/>
      <c r="D192" s="195"/>
      <c r="E192" s="195"/>
      <c r="F192" s="195"/>
      <c r="G192" s="195"/>
      <c r="H192" s="195"/>
      <c r="I192" s="2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224" t="s">
        <v>231</v>
      </c>
      <c r="B193" s="195"/>
      <c r="C193" s="195"/>
      <c r="D193" s="195"/>
      <c r="E193" s="195"/>
      <c r="F193" s="196"/>
      <c r="G193" s="231">
        <f>ROUND(G189*G191,2)</f>
        <v>81334.86</v>
      </c>
      <c r="H193" s="195"/>
      <c r="I193" s="19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8.25" customHeight="1">
      <c r="A194" s="205"/>
      <c r="B194" s="195"/>
      <c r="C194" s="195"/>
      <c r="D194" s="195"/>
      <c r="E194" s="195"/>
      <c r="F194" s="195"/>
      <c r="G194" s="195"/>
      <c r="H194" s="195"/>
      <c r="I194" s="19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4" t="s">
        <v>232</v>
      </c>
      <c r="B195" s="195"/>
      <c r="C195" s="195"/>
      <c r="D195" s="195"/>
      <c r="E195" s="195"/>
      <c r="F195" s="195"/>
      <c r="G195" s="195"/>
      <c r="H195" s="195"/>
      <c r="I195" s="19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88" t="s">
        <v>186</v>
      </c>
      <c r="B196" s="189"/>
      <c r="C196" s="190"/>
      <c r="D196" s="206" t="s">
        <v>187</v>
      </c>
      <c r="E196" s="202"/>
      <c r="F196" s="202"/>
      <c r="G196" s="202"/>
      <c r="H196" s="202"/>
      <c r="I196" s="20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91"/>
      <c r="B197" s="192"/>
      <c r="C197" s="193"/>
      <c r="D197" s="191"/>
      <c r="E197" s="192"/>
      <c r="F197" s="192"/>
      <c r="G197" s="192"/>
      <c r="H197" s="192"/>
      <c r="I197" s="19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94" t="s">
        <v>188</v>
      </c>
      <c r="B198" s="195"/>
      <c r="C198" s="196"/>
      <c r="D198" s="200">
        <v>1</v>
      </c>
      <c r="E198" s="195"/>
      <c r="F198" s="195"/>
      <c r="G198" s="195"/>
      <c r="H198" s="195"/>
      <c r="I198" s="19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4"/>
      <c r="B199" s="195"/>
      <c r="C199" s="196"/>
      <c r="D199" s="200"/>
      <c r="E199" s="195"/>
      <c r="F199" s="195"/>
      <c r="G199" s="195"/>
      <c r="H199" s="195"/>
      <c r="I199" s="19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7"/>
      <c r="B200" s="195"/>
      <c r="C200" s="196"/>
      <c r="D200" s="200"/>
      <c r="E200" s="195"/>
      <c r="F200" s="195"/>
      <c r="G200" s="195"/>
      <c r="H200" s="195"/>
      <c r="I200" s="19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>
      <c r="A201" s="201"/>
      <c r="B201" s="202"/>
      <c r="C201" s="202"/>
      <c r="D201" s="202"/>
      <c r="E201" s="202"/>
      <c r="F201" s="202"/>
      <c r="G201" s="202"/>
      <c r="H201" s="202"/>
      <c r="I201" s="20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hidden="1" customHeight="1">
      <c r="A202" s="191"/>
      <c r="B202" s="192"/>
      <c r="C202" s="192"/>
      <c r="D202" s="192"/>
      <c r="E202" s="192"/>
      <c r="F202" s="192"/>
      <c r="G202" s="192"/>
      <c r="H202" s="192"/>
      <c r="I202" s="19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4" t="s">
        <v>233</v>
      </c>
      <c r="B203" s="195"/>
      <c r="C203" s="195"/>
      <c r="D203" s="195"/>
      <c r="E203" s="195"/>
      <c r="F203" s="195"/>
      <c r="G203" s="195"/>
      <c r="H203" s="195"/>
      <c r="I203" s="19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9" t="s">
        <v>190</v>
      </c>
      <c r="B204" s="195"/>
      <c r="C204" s="195"/>
      <c r="D204" s="195"/>
      <c r="E204" s="195"/>
      <c r="F204" s="195"/>
      <c r="G204" s="196"/>
      <c r="H204" s="199" t="s">
        <v>191</v>
      </c>
      <c r="I204" s="19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>
      <c r="A205" s="198" t="s">
        <v>192</v>
      </c>
      <c r="B205" s="195"/>
      <c r="C205" s="195"/>
      <c r="D205" s="195"/>
      <c r="E205" s="195"/>
      <c r="F205" s="195"/>
      <c r="G205" s="196"/>
      <c r="H205" s="199"/>
      <c r="I205" s="19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4"/>
      <c r="B206" s="195"/>
      <c r="C206" s="195"/>
      <c r="D206" s="195"/>
      <c r="E206" s="195"/>
      <c r="F206" s="195"/>
      <c r="G206" s="196"/>
      <c r="H206" s="199"/>
      <c r="I206" s="19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7"/>
      <c r="B207" s="195"/>
      <c r="C207" s="195"/>
      <c r="D207" s="195"/>
      <c r="E207" s="195"/>
      <c r="F207" s="195"/>
      <c r="G207" s="196"/>
      <c r="H207" s="199"/>
      <c r="I207" s="19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/>
    <row r="407" spans="1:26" ht="12.75" customHeight="1"/>
    <row r="408" spans="1:26" ht="12.75" customHeight="1"/>
    <row r="409" spans="1:26" ht="12.75" customHeight="1"/>
    <row r="410" spans="1:26" ht="12.75" customHeight="1"/>
    <row r="411" spans="1:26" ht="12.75" customHeight="1"/>
    <row r="412" spans="1:26" ht="12.75" customHeight="1"/>
    <row r="413" spans="1:26" ht="12.75" customHeight="1"/>
    <row r="414" spans="1:26" ht="12.75" customHeight="1"/>
    <row r="415" spans="1:26" ht="12.75" customHeight="1"/>
    <row r="416" spans="1:2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1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F14:G14"/>
    <mergeCell ref="H14:I14"/>
    <mergeCell ref="B11:G11"/>
    <mergeCell ref="H11:I11"/>
    <mergeCell ref="A12:I12"/>
    <mergeCell ref="A13:E13"/>
    <mergeCell ref="F13:G13"/>
    <mergeCell ref="H13:I13"/>
    <mergeCell ref="A14:E14"/>
    <mergeCell ref="A15:G15"/>
    <mergeCell ref="H15:I15"/>
    <mergeCell ref="A16:I16"/>
    <mergeCell ref="A17:I17"/>
    <mergeCell ref="A18:I18"/>
    <mergeCell ref="J19:Q19"/>
    <mergeCell ref="R19:Y19"/>
    <mergeCell ref="A19:I19"/>
    <mergeCell ref="B20:G20"/>
    <mergeCell ref="H20:I20"/>
    <mergeCell ref="B21:G21"/>
    <mergeCell ref="H21:I21"/>
    <mergeCell ref="B22:G22"/>
    <mergeCell ref="H22:I22"/>
    <mergeCell ref="A30:I30"/>
    <mergeCell ref="A31:I31"/>
    <mergeCell ref="B23:G23"/>
    <mergeCell ref="H23:I23"/>
    <mergeCell ref="B24:G24"/>
    <mergeCell ref="H24:I24"/>
    <mergeCell ref="B25:G25"/>
    <mergeCell ref="H25:I25"/>
    <mergeCell ref="H26:I26"/>
    <mergeCell ref="B26:G26"/>
    <mergeCell ref="B27:G27"/>
    <mergeCell ref="H27:I27"/>
    <mergeCell ref="B28:G28"/>
    <mergeCell ref="H28:I28"/>
    <mergeCell ref="B29:G29"/>
    <mergeCell ref="H29:I29"/>
    <mergeCell ref="B32:G32"/>
    <mergeCell ref="B33:H33"/>
    <mergeCell ref="B34:H34"/>
    <mergeCell ref="B35:H35"/>
    <mergeCell ref="B36:H36"/>
    <mergeCell ref="B37:H37"/>
    <mergeCell ref="A38:H38"/>
    <mergeCell ref="A39:I39"/>
    <mergeCell ref="B40:H40"/>
    <mergeCell ref="A41:H41"/>
    <mergeCell ref="A42:I42"/>
    <mergeCell ref="A43:H43"/>
    <mergeCell ref="A44:I44"/>
    <mergeCell ref="A45:I45"/>
    <mergeCell ref="A46:I46"/>
    <mergeCell ref="A47:I47"/>
    <mergeCell ref="A48:I48"/>
    <mergeCell ref="B49:H49"/>
    <mergeCell ref="B50:G50"/>
    <mergeCell ref="B51:G51"/>
    <mergeCell ref="A52:H52"/>
    <mergeCell ref="B53:H53"/>
    <mergeCell ref="A54:H54"/>
    <mergeCell ref="A55:I55"/>
    <mergeCell ref="A56:I56"/>
    <mergeCell ref="B57:G57"/>
    <mergeCell ref="B58:G58"/>
    <mergeCell ref="B59:G59"/>
    <mergeCell ref="B60:C60"/>
    <mergeCell ref="B61:G61"/>
    <mergeCell ref="B62:G62"/>
    <mergeCell ref="B63:G63"/>
    <mergeCell ref="B64:G64"/>
    <mergeCell ref="B65:G65"/>
    <mergeCell ref="A66:G66"/>
    <mergeCell ref="A68:I68"/>
    <mergeCell ref="A69:I69"/>
    <mergeCell ref="A70:I70"/>
    <mergeCell ref="B71:H71"/>
    <mergeCell ref="B72:H72"/>
    <mergeCell ref="B73:G73"/>
    <mergeCell ref="B74:G74"/>
    <mergeCell ref="B75:G75"/>
    <mergeCell ref="B76:G76"/>
    <mergeCell ref="B77:H77"/>
    <mergeCell ref="B78:G78"/>
    <mergeCell ref="B79:G79"/>
    <mergeCell ref="B80:G80"/>
    <mergeCell ref="B81:H81"/>
    <mergeCell ref="B82:H82"/>
    <mergeCell ref="B83:H83"/>
    <mergeCell ref="B84:H84"/>
    <mergeCell ref="B85:H85"/>
    <mergeCell ref="A86:I86"/>
    <mergeCell ref="A87:I87"/>
    <mergeCell ref="B88:H88"/>
    <mergeCell ref="B89:H89"/>
    <mergeCell ref="B90:H90"/>
    <mergeCell ref="B91:H91"/>
    <mergeCell ref="A92:H92"/>
    <mergeCell ref="A93:I93"/>
    <mergeCell ref="A94:I94"/>
    <mergeCell ref="B95:H95"/>
    <mergeCell ref="B96:H96"/>
    <mergeCell ref="B97:H97"/>
    <mergeCell ref="B98:H98"/>
    <mergeCell ref="B99:H99"/>
    <mergeCell ref="B100:H100"/>
    <mergeCell ref="B101:G101"/>
    <mergeCell ref="A102:H102"/>
    <mergeCell ref="A103:I103"/>
    <mergeCell ref="A104:I104"/>
    <mergeCell ref="B125:H125"/>
    <mergeCell ref="A126:H126"/>
    <mergeCell ref="B127:H127"/>
    <mergeCell ref="A128:H128"/>
    <mergeCell ref="A129:I129"/>
    <mergeCell ref="A105:I105"/>
    <mergeCell ref="A106:H106"/>
    <mergeCell ref="A107:I107"/>
    <mergeCell ref="A108:I108"/>
    <mergeCell ref="B109:H109"/>
    <mergeCell ref="B110:G110"/>
    <mergeCell ref="B111:H111"/>
    <mergeCell ref="B112:H112"/>
    <mergeCell ref="B113:H113"/>
    <mergeCell ref="A180:I180"/>
    <mergeCell ref="A182:I182"/>
    <mergeCell ref="A183:D183"/>
    <mergeCell ref="E183:F183"/>
    <mergeCell ref="H183:I183"/>
    <mergeCell ref="B114:H114"/>
    <mergeCell ref="B115:H115"/>
    <mergeCell ref="A116:H116"/>
    <mergeCell ref="B160:G160"/>
    <mergeCell ref="A161:H161"/>
    <mergeCell ref="A162:I162"/>
    <mergeCell ref="A163:G163"/>
    <mergeCell ref="A164:B166"/>
    <mergeCell ref="C164:I164"/>
    <mergeCell ref="C165:I165"/>
    <mergeCell ref="C166:I166"/>
    <mergeCell ref="B117:H117"/>
    <mergeCell ref="A118:H118"/>
    <mergeCell ref="A119:I119"/>
    <mergeCell ref="A120:I120"/>
    <mergeCell ref="B121:H121"/>
    <mergeCell ref="B122:H122"/>
    <mergeCell ref="B123:H123"/>
    <mergeCell ref="B124:H124"/>
    <mergeCell ref="E184:F184"/>
    <mergeCell ref="H184:I184"/>
    <mergeCell ref="A184:D184"/>
    <mergeCell ref="A185:F185"/>
    <mergeCell ref="H185:I185"/>
    <mergeCell ref="A186:I186"/>
    <mergeCell ref="A187:I187"/>
    <mergeCell ref="A188:I188"/>
    <mergeCell ref="G189:I189"/>
    <mergeCell ref="A189:F189"/>
    <mergeCell ref="A190:I190"/>
    <mergeCell ref="A191:F191"/>
    <mergeCell ref="G191:I191"/>
    <mergeCell ref="A192:I192"/>
    <mergeCell ref="A193:F193"/>
    <mergeCell ref="G193:I193"/>
    <mergeCell ref="A199:C199"/>
    <mergeCell ref="A200:C200"/>
    <mergeCell ref="A194:I194"/>
    <mergeCell ref="A195:I195"/>
    <mergeCell ref="A196:C197"/>
    <mergeCell ref="D196:I197"/>
    <mergeCell ref="A198:C198"/>
    <mergeCell ref="D198:I198"/>
    <mergeCell ref="D199:I199"/>
    <mergeCell ref="A206:G206"/>
    <mergeCell ref="H206:I206"/>
    <mergeCell ref="A207:G207"/>
    <mergeCell ref="H207:I207"/>
    <mergeCell ref="D200:I200"/>
    <mergeCell ref="A201:I202"/>
    <mergeCell ref="A203:I203"/>
    <mergeCell ref="A204:G204"/>
    <mergeCell ref="H204:I204"/>
    <mergeCell ref="A205:G205"/>
    <mergeCell ref="H205:I205"/>
    <mergeCell ref="A130:I130"/>
    <mergeCell ref="B131:H131"/>
    <mergeCell ref="B132:H132"/>
    <mergeCell ref="B133:H133"/>
    <mergeCell ref="A134:H134"/>
    <mergeCell ref="A135:I135"/>
    <mergeCell ref="A136:I136"/>
    <mergeCell ref="B137:H137"/>
    <mergeCell ref="B138:H138"/>
    <mergeCell ref="B139:H139"/>
    <mergeCell ref="B140:H140"/>
    <mergeCell ref="A141:H141"/>
    <mergeCell ref="A142:I142"/>
    <mergeCell ref="A143:I143"/>
    <mergeCell ref="A145:I145"/>
    <mergeCell ref="B146:G146"/>
    <mergeCell ref="A147:G147"/>
    <mergeCell ref="B148:G148"/>
    <mergeCell ref="A149:G149"/>
    <mergeCell ref="B150:G150"/>
    <mergeCell ref="A151:G151"/>
    <mergeCell ref="B152:G152"/>
    <mergeCell ref="B153:G153"/>
    <mergeCell ref="B154:G154"/>
    <mergeCell ref="B155:G155"/>
    <mergeCell ref="B156:G156"/>
    <mergeCell ref="B157:G157"/>
    <mergeCell ref="B158:G158"/>
    <mergeCell ref="B159:G159"/>
    <mergeCell ref="B173:H173"/>
    <mergeCell ref="B174:H174"/>
    <mergeCell ref="B175:H175"/>
    <mergeCell ref="B176:H176"/>
    <mergeCell ref="A177:H177"/>
    <mergeCell ref="B178:H178"/>
    <mergeCell ref="A179:H179"/>
    <mergeCell ref="A167:I167"/>
    <mergeCell ref="A168:I168"/>
    <mergeCell ref="A169:I169"/>
    <mergeCell ref="A170:I170"/>
    <mergeCell ref="A171:H171"/>
    <mergeCell ref="B172:H172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activeCell="A6" sqref="A6:I6"/>
    </sheetView>
  </sheetViews>
  <sheetFormatPr defaultColWidth="14.42578125" defaultRowHeight="15" customHeight="1"/>
  <cols>
    <col min="1" max="1" width="15.28515625" customWidth="1"/>
    <col min="2" max="2" width="11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7" width="11.85546875" customWidth="1"/>
    <col min="8" max="8" width="28" customWidth="1"/>
    <col min="9" max="9" width="14.5703125" customWidth="1"/>
    <col min="10" max="18" width="9.140625" customWidth="1"/>
  </cols>
  <sheetData>
    <row r="1" spans="1:18" ht="12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</row>
    <row r="2" spans="1:18" ht="32.25" customHeight="1">
      <c r="A2" s="305" t="s">
        <v>234</v>
      </c>
      <c r="B2" s="189"/>
      <c r="C2" s="189"/>
      <c r="D2" s="189"/>
      <c r="E2" s="189"/>
      <c r="F2" s="189"/>
      <c r="G2" s="189"/>
      <c r="H2" s="189"/>
      <c r="I2" s="189"/>
      <c r="J2" s="1"/>
      <c r="K2" s="1"/>
      <c r="L2" s="1"/>
      <c r="M2" s="1"/>
      <c r="N2" s="1"/>
      <c r="O2" s="1"/>
      <c r="P2" s="1"/>
      <c r="Q2" s="1"/>
      <c r="R2" s="1"/>
    </row>
    <row r="3" spans="1:18" ht="41.25" customHeight="1">
      <c r="A3" s="306" t="s">
        <v>345</v>
      </c>
      <c r="B3" s="189"/>
      <c r="C3" s="189"/>
      <c r="D3" s="189"/>
      <c r="E3" s="189"/>
      <c r="F3" s="189"/>
      <c r="G3" s="189"/>
      <c r="H3" s="189"/>
      <c r="I3" s="189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A4" s="233" t="s">
        <v>1</v>
      </c>
      <c r="B4" s="195"/>
      <c r="C4" s="195"/>
      <c r="D4" s="195"/>
      <c r="E4" s="196"/>
      <c r="F4" s="307" t="s">
        <v>341</v>
      </c>
      <c r="G4" s="195"/>
      <c r="H4" s="195"/>
      <c r="I4" s="196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>
      <c r="A5" s="233" t="s">
        <v>2</v>
      </c>
      <c r="B5" s="195"/>
      <c r="C5" s="195"/>
      <c r="D5" s="195"/>
      <c r="E5" s="196"/>
      <c r="F5" s="308" t="s">
        <v>342</v>
      </c>
      <c r="G5" s="309"/>
      <c r="H5" s="309"/>
      <c r="I5" s="310"/>
      <c r="J5" s="1"/>
      <c r="K5" s="1"/>
      <c r="L5" s="1"/>
      <c r="M5" s="1"/>
      <c r="N5" s="1"/>
      <c r="O5" s="1"/>
      <c r="P5" s="1"/>
      <c r="Q5" s="1"/>
      <c r="R5" s="1"/>
    </row>
    <row r="6" spans="1:18" ht="14.25" customHeight="1">
      <c r="A6" s="233" t="s">
        <v>346</v>
      </c>
      <c r="B6" s="195"/>
      <c r="C6" s="195"/>
      <c r="D6" s="195"/>
      <c r="E6" s="195"/>
      <c r="F6" s="195"/>
      <c r="G6" s="195"/>
      <c r="H6" s="195"/>
      <c r="I6" s="196"/>
      <c r="J6" s="1"/>
      <c r="K6" s="1"/>
      <c r="L6" s="1"/>
      <c r="M6" s="1"/>
      <c r="N6" s="1"/>
      <c r="O6" s="1"/>
      <c r="P6" s="1"/>
      <c r="Q6" s="1"/>
      <c r="R6" s="1"/>
    </row>
    <row r="7" spans="1:18" ht="20.25" customHeight="1">
      <c r="A7" s="219" t="s">
        <v>3</v>
      </c>
      <c r="B7" s="195"/>
      <c r="C7" s="195"/>
      <c r="D7" s="195"/>
      <c r="E7" s="195"/>
      <c r="F7" s="195"/>
      <c r="G7" s="195"/>
      <c r="H7" s="195"/>
      <c r="I7" s="196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>
      <c r="A8" s="3" t="s">
        <v>4</v>
      </c>
      <c r="B8" s="233" t="s">
        <v>5</v>
      </c>
      <c r="C8" s="195"/>
      <c r="D8" s="195"/>
      <c r="E8" s="195"/>
      <c r="F8" s="195"/>
      <c r="G8" s="196"/>
      <c r="H8" s="300"/>
      <c r="I8" s="196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>
      <c r="A9" s="3" t="s">
        <v>6</v>
      </c>
      <c r="B9" s="233" t="s">
        <v>7</v>
      </c>
      <c r="C9" s="195"/>
      <c r="D9" s="195"/>
      <c r="E9" s="195"/>
      <c r="F9" s="195"/>
      <c r="G9" s="196"/>
      <c r="H9" s="299" t="s">
        <v>194</v>
      </c>
      <c r="I9" s="196"/>
      <c r="J9" s="1"/>
      <c r="K9" s="1"/>
      <c r="L9" s="1"/>
      <c r="M9" s="1"/>
      <c r="N9" s="1"/>
      <c r="O9" s="1"/>
      <c r="P9" s="1"/>
      <c r="Q9" s="1"/>
      <c r="R9" s="1"/>
    </row>
    <row r="10" spans="1:18" ht="19.5" customHeight="1">
      <c r="A10" s="3" t="s">
        <v>9</v>
      </c>
      <c r="B10" s="233" t="s">
        <v>10</v>
      </c>
      <c r="C10" s="195"/>
      <c r="D10" s="195"/>
      <c r="E10" s="195"/>
      <c r="F10" s="195"/>
      <c r="G10" s="196"/>
      <c r="H10" s="300">
        <v>44197</v>
      </c>
      <c r="I10" s="196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>
      <c r="A11" s="3" t="s">
        <v>11</v>
      </c>
      <c r="B11" s="233" t="s">
        <v>12</v>
      </c>
      <c r="C11" s="195"/>
      <c r="D11" s="195"/>
      <c r="E11" s="195"/>
      <c r="F11" s="195"/>
      <c r="G11" s="196"/>
      <c r="H11" s="299">
        <v>20</v>
      </c>
      <c r="I11" s="196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303" t="s">
        <v>13</v>
      </c>
      <c r="B12" s="195"/>
      <c r="C12" s="195"/>
      <c r="D12" s="195"/>
      <c r="E12" s="195"/>
      <c r="F12" s="195"/>
      <c r="G12" s="195"/>
      <c r="H12" s="195"/>
      <c r="I12" s="196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>
      <c r="A13" s="242" t="s">
        <v>14</v>
      </c>
      <c r="B13" s="195"/>
      <c r="C13" s="195"/>
      <c r="D13" s="195"/>
      <c r="E13" s="216"/>
      <c r="F13" s="242" t="s">
        <v>15</v>
      </c>
      <c r="G13" s="196"/>
      <c r="H13" s="242" t="s">
        <v>16</v>
      </c>
      <c r="I13" s="196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>
      <c r="A14" s="304" t="s">
        <v>17</v>
      </c>
      <c r="B14" s="195"/>
      <c r="C14" s="195"/>
      <c r="D14" s="195"/>
      <c r="E14" s="196"/>
      <c r="F14" s="301" t="s">
        <v>18</v>
      </c>
      <c r="G14" s="196"/>
      <c r="H14" s="302">
        <v>1</v>
      </c>
      <c r="I14" s="196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>
      <c r="A15" s="295" t="s">
        <v>19</v>
      </c>
      <c r="B15" s="195"/>
      <c r="C15" s="195"/>
      <c r="D15" s="195"/>
      <c r="E15" s="195"/>
      <c r="F15" s="195"/>
      <c r="G15" s="196"/>
      <c r="H15" s="296">
        <f>SUM(H14)</f>
        <v>1</v>
      </c>
      <c r="I15" s="196"/>
      <c r="J15" s="1"/>
      <c r="K15" s="1"/>
      <c r="L15" s="1"/>
      <c r="M15" s="1"/>
      <c r="N15" s="1"/>
      <c r="O15" s="1"/>
      <c r="P15" s="1"/>
      <c r="Q15" s="1"/>
      <c r="R15" s="1"/>
    </row>
    <row r="16" spans="1:18" ht="7.5" customHeight="1">
      <c r="A16" s="274"/>
      <c r="B16" s="195"/>
      <c r="C16" s="195"/>
      <c r="D16" s="195"/>
      <c r="E16" s="195"/>
      <c r="F16" s="195"/>
      <c r="G16" s="195"/>
      <c r="H16" s="195"/>
      <c r="I16" s="196"/>
      <c r="J16" s="1"/>
      <c r="K16" s="1"/>
      <c r="L16" s="1"/>
      <c r="M16" s="1"/>
      <c r="N16" s="1"/>
      <c r="O16" s="1"/>
      <c r="P16" s="1"/>
      <c r="Q16" s="1"/>
      <c r="R16" s="1"/>
    </row>
    <row r="17" spans="1:18" ht="19.5" customHeight="1">
      <c r="A17" s="297" t="s">
        <v>235</v>
      </c>
      <c r="B17" s="195"/>
      <c r="C17" s="195"/>
      <c r="D17" s="195"/>
      <c r="E17" s="195"/>
      <c r="F17" s="195"/>
      <c r="G17" s="195"/>
      <c r="H17" s="195"/>
      <c r="I17" s="196"/>
      <c r="J17" s="1"/>
      <c r="K17" s="1"/>
      <c r="L17" s="1"/>
      <c r="M17" s="1"/>
      <c r="N17" s="1"/>
      <c r="O17" s="1"/>
      <c r="P17" s="1"/>
      <c r="Q17" s="1"/>
      <c r="R17" s="1"/>
    </row>
    <row r="18" spans="1:18" ht="9.75" customHeight="1">
      <c r="A18" s="298"/>
      <c r="B18" s="195"/>
      <c r="C18" s="195"/>
      <c r="D18" s="195"/>
      <c r="E18" s="195"/>
      <c r="F18" s="195"/>
      <c r="G18" s="195"/>
      <c r="H18" s="195"/>
      <c r="I18" s="196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219" t="s">
        <v>21</v>
      </c>
      <c r="B19" s="195"/>
      <c r="C19" s="195"/>
      <c r="D19" s="195"/>
      <c r="E19" s="195"/>
      <c r="F19" s="195"/>
      <c r="G19" s="195"/>
      <c r="H19" s="195"/>
      <c r="I19" s="196"/>
      <c r="J19" s="294"/>
      <c r="K19" s="189"/>
      <c r="L19" s="189"/>
      <c r="M19" s="189"/>
      <c r="N19" s="189"/>
      <c r="O19" s="189"/>
      <c r="P19" s="189"/>
      <c r="Q19" s="189"/>
      <c r="R19" s="8"/>
    </row>
    <row r="20" spans="1:18" ht="27" customHeight="1">
      <c r="A20" s="3">
        <v>1</v>
      </c>
      <c r="B20" s="233" t="s">
        <v>22</v>
      </c>
      <c r="C20" s="195"/>
      <c r="D20" s="195"/>
      <c r="E20" s="195"/>
      <c r="F20" s="195"/>
      <c r="G20" s="196"/>
      <c r="H20" s="288" t="s">
        <v>23</v>
      </c>
      <c r="I20" s="196"/>
      <c r="J20" s="1"/>
      <c r="K20" s="1"/>
      <c r="L20" s="1"/>
      <c r="M20" s="1"/>
      <c r="N20" s="1"/>
      <c r="O20" s="1"/>
      <c r="P20" s="1"/>
      <c r="Q20" s="1"/>
      <c r="R20" s="1"/>
    </row>
    <row r="21" spans="1:18" ht="19.5" customHeight="1">
      <c r="A21" s="9">
        <v>2</v>
      </c>
      <c r="B21" s="253" t="s">
        <v>24</v>
      </c>
      <c r="C21" s="195"/>
      <c r="D21" s="195"/>
      <c r="E21" s="195"/>
      <c r="F21" s="195"/>
      <c r="G21" s="196"/>
      <c r="H21" s="289" t="s">
        <v>25</v>
      </c>
      <c r="I21" s="196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>
      <c r="A22" s="3">
        <v>3</v>
      </c>
      <c r="B22" s="233" t="s">
        <v>26</v>
      </c>
      <c r="C22" s="195"/>
      <c r="D22" s="195"/>
      <c r="E22" s="195"/>
      <c r="F22" s="195"/>
      <c r="G22" s="196"/>
      <c r="H22" s="290">
        <v>1167.3399999999999</v>
      </c>
      <c r="I22" s="196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>
      <c r="A23" s="3">
        <v>4</v>
      </c>
      <c r="B23" s="233" t="s">
        <v>27</v>
      </c>
      <c r="C23" s="195"/>
      <c r="D23" s="195"/>
      <c r="E23" s="195"/>
      <c r="F23" s="195"/>
      <c r="G23" s="196"/>
      <c r="H23" s="291" t="s">
        <v>23</v>
      </c>
      <c r="I23" s="196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>
      <c r="A24" s="3">
        <v>5</v>
      </c>
      <c r="B24" s="233" t="s">
        <v>28</v>
      </c>
      <c r="C24" s="195"/>
      <c r="D24" s="195"/>
      <c r="E24" s="195"/>
      <c r="F24" s="195"/>
      <c r="G24" s="196"/>
      <c r="H24" s="292">
        <v>44197</v>
      </c>
      <c r="I24" s="196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1">
        <v>6</v>
      </c>
      <c r="B25" s="248" t="s">
        <v>236</v>
      </c>
      <c r="C25" s="195"/>
      <c r="D25" s="195"/>
      <c r="E25" s="195"/>
      <c r="F25" s="195"/>
      <c r="G25" s="196"/>
      <c r="H25" s="284">
        <f>ROUND((H22/220),2)</f>
        <v>5.31</v>
      </c>
      <c r="I25" s="196"/>
    </row>
    <row r="26" spans="1:18" ht="12.75" customHeight="1">
      <c r="A26" s="11">
        <v>7</v>
      </c>
      <c r="B26" s="248" t="s">
        <v>237</v>
      </c>
      <c r="C26" s="195"/>
      <c r="D26" s="195"/>
      <c r="E26" s="195"/>
      <c r="F26" s="195"/>
      <c r="G26" s="196"/>
      <c r="H26" s="293">
        <f>ROUND(H25*1.5,2)</f>
        <v>7.97</v>
      </c>
      <c r="I26" s="196"/>
    </row>
    <row r="27" spans="1:18" ht="24" customHeight="1">
      <c r="A27" s="11">
        <v>8</v>
      </c>
      <c r="B27" s="248" t="s">
        <v>238</v>
      </c>
      <c r="C27" s="195"/>
      <c r="D27" s="195"/>
      <c r="E27" s="195"/>
      <c r="F27" s="195"/>
      <c r="G27" s="196"/>
      <c r="H27" s="284">
        <f>ROUND(H25*0.2,2)*60/52.5</f>
        <v>1.2114285714285715</v>
      </c>
      <c r="I27" s="196"/>
    </row>
    <row r="28" spans="1:18" ht="12.75" customHeight="1">
      <c r="A28" s="11">
        <v>9</v>
      </c>
      <c r="B28" s="248" t="s">
        <v>33</v>
      </c>
      <c r="C28" s="195"/>
      <c r="D28" s="195"/>
      <c r="E28" s="195"/>
      <c r="F28" s="195"/>
      <c r="G28" s="196"/>
      <c r="H28" s="284">
        <f>(60/52.5-1)*H26</f>
        <v>1.1385714285714281</v>
      </c>
      <c r="I28" s="196"/>
    </row>
    <row r="29" spans="1:18" ht="12.75" customHeight="1">
      <c r="A29" s="11">
        <v>10</v>
      </c>
      <c r="B29" s="285" t="s">
        <v>34</v>
      </c>
      <c r="C29" s="195"/>
      <c r="D29" s="195"/>
      <c r="E29" s="195"/>
      <c r="F29" s="195"/>
      <c r="G29" s="196"/>
      <c r="H29" s="286">
        <v>1</v>
      </c>
      <c r="I29" s="196"/>
    </row>
    <row r="30" spans="1:18" ht="9" customHeight="1">
      <c r="A30" s="274"/>
      <c r="B30" s="195"/>
      <c r="C30" s="195"/>
      <c r="D30" s="195"/>
      <c r="E30" s="195"/>
      <c r="F30" s="195"/>
      <c r="G30" s="195"/>
      <c r="H30" s="195"/>
      <c r="I30" s="196"/>
      <c r="J30" s="1"/>
      <c r="K30" s="1"/>
      <c r="L30" s="1"/>
      <c r="M30" s="1"/>
      <c r="N30" s="1"/>
      <c r="O30" s="1"/>
      <c r="P30" s="1"/>
      <c r="Q30" s="1"/>
      <c r="R30" s="1"/>
    </row>
    <row r="31" spans="1:18" ht="20.25" customHeight="1">
      <c r="A31" s="287" t="s">
        <v>35</v>
      </c>
      <c r="B31" s="195"/>
      <c r="C31" s="195"/>
      <c r="D31" s="195"/>
      <c r="E31" s="195"/>
      <c r="F31" s="195"/>
      <c r="G31" s="195"/>
      <c r="H31" s="195"/>
      <c r="I31" s="196"/>
      <c r="J31" s="1"/>
      <c r="K31" s="1"/>
      <c r="L31" s="1"/>
      <c r="M31" s="1"/>
      <c r="N31" s="1"/>
      <c r="O31" s="1"/>
      <c r="P31" s="1"/>
      <c r="Q31" s="1"/>
      <c r="R31" s="1"/>
    </row>
    <row r="32" spans="1:18" ht="30" customHeight="1">
      <c r="A32" s="15">
        <v>1</v>
      </c>
      <c r="B32" s="252" t="s">
        <v>36</v>
      </c>
      <c r="C32" s="195"/>
      <c r="D32" s="195"/>
      <c r="E32" s="195"/>
      <c r="F32" s="195"/>
      <c r="G32" s="196"/>
      <c r="H32" s="16" t="s">
        <v>37</v>
      </c>
      <c r="I32" s="15" t="s">
        <v>38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9.5" customHeight="1">
      <c r="A33" s="3" t="s">
        <v>4</v>
      </c>
      <c r="B33" s="233" t="s">
        <v>239</v>
      </c>
      <c r="C33" s="195"/>
      <c r="D33" s="195"/>
      <c r="E33" s="195"/>
      <c r="F33" s="195"/>
      <c r="G33" s="195"/>
      <c r="H33" s="196"/>
      <c r="I33" s="18">
        <f>H22*1</f>
        <v>1167.3399999999999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20" t="s">
        <v>6</v>
      </c>
      <c r="B34" s="234" t="s">
        <v>40</v>
      </c>
      <c r="C34" s="195"/>
      <c r="D34" s="195"/>
      <c r="E34" s="195"/>
      <c r="F34" s="195"/>
      <c r="G34" s="195"/>
      <c r="H34" s="196"/>
      <c r="I34" s="21">
        <f>ROUND(1*22*H27,2)</f>
        <v>26.65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ht="51" customHeight="1">
      <c r="A35" s="20" t="s">
        <v>9</v>
      </c>
      <c r="B35" s="234" t="s">
        <v>41</v>
      </c>
      <c r="C35" s="195"/>
      <c r="D35" s="195"/>
      <c r="E35" s="195"/>
      <c r="F35" s="195"/>
      <c r="G35" s="195"/>
      <c r="H35" s="196"/>
      <c r="I35" s="21">
        <f>(1*22*H28)</f>
        <v>25.048571428571417</v>
      </c>
      <c r="J35" s="1"/>
      <c r="K35" s="1"/>
      <c r="L35" s="1"/>
      <c r="M35" s="1"/>
      <c r="N35" s="1"/>
      <c r="O35" s="1"/>
      <c r="P35" s="1"/>
      <c r="Q35" s="1"/>
      <c r="R35" s="1"/>
    </row>
    <row r="36" spans="1:18" ht="51" customHeight="1">
      <c r="A36" s="25" t="s">
        <v>11</v>
      </c>
      <c r="B36" s="283" t="s">
        <v>42</v>
      </c>
      <c r="C36" s="195"/>
      <c r="D36" s="195"/>
      <c r="E36" s="195"/>
      <c r="F36" s="195"/>
      <c r="G36" s="195"/>
      <c r="H36" s="196"/>
      <c r="I36" s="26">
        <f>(((H25*0.2)*0.2)+((H25*1)*0.2)*22)</f>
        <v>23.5764</v>
      </c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3" t="s">
        <v>43</v>
      </c>
      <c r="B37" s="233" t="s">
        <v>44</v>
      </c>
      <c r="C37" s="195"/>
      <c r="D37" s="195"/>
      <c r="E37" s="195"/>
      <c r="F37" s="195"/>
      <c r="G37" s="195"/>
      <c r="H37" s="196"/>
      <c r="I37" s="29">
        <v>0</v>
      </c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>
      <c r="A38" s="219" t="s">
        <v>45</v>
      </c>
      <c r="B38" s="195"/>
      <c r="C38" s="195"/>
      <c r="D38" s="195"/>
      <c r="E38" s="195"/>
      <c r="F38" s="195"/>
      <c r="G38" s="195"/>
      <c r="H38" s="196"/>
      <c r="I38" s="30">
        <f>SUM(I33:I37)</f>
        <v>1242.6149714285714</v>
      </c>
      <c r="J38" s="1"/>
      <c r="K38" s="1"/>
      <c r="L38" s="1"/>
      <c r="M38" s="1"/>
      <c r="N38" s="1"/>
      <c r="O38" s="1"/>
      <c r="P38" s="1"/>
      <c r="Q38" s="1"/>
      <c r="R38" s="1"/>
    </row>
    <row r="39" spans="1:18" ht="9.75" customHeight="1">
      <c r="A39" s="277"/>
      <c r="B39" s="195"/>
      <c r="C39" s="195"/>
      <c r="D39" s="195"/>
      <c r="E39" s="195"/>
      <c r="F39" s="195"/>
      <c r="G39" s="195"/>
      <c r="H39" s="195"/>
      <c r="I39" s="196"/>
      <c r="J39" s="1"/>
      <c r="K39" s="1"/>
      <c r="L39" s="1"/>
      <c r="M39" s="1"/>
      <c r="N39" s="1"/>
      <c r="O39" s="1"/>
      <c r="P39" s="1"/>
      <c r="Q39" s="1"/>
      <c r="R39" s="1"/>
    </row>
    <row r="40" spans="1:18" ht="27.75" customHeight="1">
      <c r="A40" s="3" t="s">
        <v>43</v>
      </c>
      <c r="B40" s="233" t="s">
        <v>46</v>
      </c>
      <c r="C40" s="195"/>
      <c r="D40" s="195"/>
      <c r="E40" s="195"/>
      <c r="F40" s="195"/>
      <c r="G40" s="195"/>
      <c r="H40" s="196"/>
      <c r="I40" s="18">
        <v>0</v>
      </c>
      <c r="J40" s="1"/>
      <c r="K40" s="1"/>
      <c r="L40" s="1"/>
      <c r="M40" s="1"/>
      <c r="N40" s="1"/>
      <c r="O40" s="1"/>
      <c r="P40" s="1"/>
      <c r="Q40" s="1"/>
      <c r="R40" s="1"/>
    </row>
    <row r="41" spans="1:18" ht="32.25" customHeight="1">
      <c r="A41" s="219" t="s">
        <v>240</v>
      </c>
      <c r="B41" s="195"/>
      <c r="C41" s="195"/>
      <c r="D41" s="195"/>
      <c r="E41" s="195"/>
      <c r="F41" s="195"/>
      <c r="G41" s="195"/>
      <c r="H41" s="196"/>
      <c r="I41" s="30">
        <f>I40</f>
        <v>0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>
      <c r="A42" s="271"/>
      <c r="B42" s="195"/>
      <c r="C42" s="195"/>
      <c r="D42" s="195"/>
      <c r="E42" s="195"/>
      <c r="F42" s="195"/>
      <c r="G42" s="195"/>
      <c r="H42" s="195"/>
      <c r="I42" s="196"/>
      <c r="J42" s="1"/>
      <c r="K42" s="1"/>
      <c r="L42" s="1"/>
      <c r="M42" s="1"/>
      <c r="N42" s="1"/>
      <c r="O42" s="1"/>
      <c r="P42" s="1"/>
      <c r="Q42" s="1"/>
      <c r="R42" s="1"/>
    </row>
    <row r="43" spans="1:18" ht="45" customHeight="1">
      <c r="A43" s="219" t="s">
        <v>241</v>
      </c>
      <c r="B43" s="195"/>
      <c r="C43" s="195"/>
      <c r="D43" s="195"/>
      <c r="E43" s="195"/>
      <c r="F43" s="195"/>
      <c r="G43" s="195"/>
      <c r="H43" s="196"/>
      <c r="I43" s="32">
        <f>I38+I41</f>
        <v>1242.6149714285714</v>
      </c>
      <c r="J43" s="1"/>
      <c r="K43" s="1"/>
      <c r="L43" s="1"/>
      <c r="M43" s="1"/>
      <c r="N43" s="1"/>
      <c r="O43" s="1"/>
      <c r="P43" s="1"/>
      <c r="Q43" s="1"/>
      <c r="R43" s="1"/>
    </row>
    <row r="44" spans="1:18" ht="9" customHeight="1">
      <c r="A44" s="277"/>
      <c r="B44" s="195"/>
      <c r="C44" s="195"/>
      <c r="D44" s="195"/>
      <c r="E44" s="195"/>
      <c r="F44" s="195"/>
      <c r="G44" s="195"/>
      <c r="H44" s="195"/>
      <c r="I44" s="196"/>
      <c r="J44" s="1"/>
      <c r="K44" s="1"/>
      <c r="L44" s="1"/>
      <c r="M44" s="1"/>
      <c r="N44" s="1"/>
      <c r="O44" s="1"/>
      <c r="P44" s="1"/>
      <c r="Q44" s="1"/>
      <c r="R44" s="1"/>
    </row>
    <row r="45" spans="1:18" ht="17.25" customHeight="1">
      <c r="A45" s="232" t="s">
        <v>49</v>
      </c>
      <c r="B45" s="195"/>
      <c r="C45" s="195"/>
      <c r="D45" s="195"/>
      <c r="E45" s="195"/>
      <c r="F45" s="195"/>
      <c r="G45" s="195"/>
      <c r="H45" s="195"/>
      <c r="I45" s="196"/>
      <c r="J45" s="1"/>
      <c r="K45" s="1"/>
      <c r="L45" s="1"/>
      <c r="M45" s="1"/>
      <c r="N45" s="1"/>
      <c r="O45" s="1"/>
      <c r="P45" s="1"/>
      <c r="Q45" s="1"/>
      <c r="R45" s="1"/>
    </row>
    <row r="46" spans="1:18" ht="8.25" customHeight="1">
      <c r="A46" s="278"/>
      <c r="B46" s="195"/>
      <c r="C46" s="195"/>
      <c r="D46" s="195"/>
      <c r="E46" s="195"/>
      <c r="F46" s="195"/>
      <c r="G46" s="195"/>
      <c r="H46" s="195"/>
      <c r="I46" s="196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customHeight="1">
      <c r="A47" s="259" t="s">
        <v>51</v>
      </c>
      <c r="B47" s="195"/>
      <c r="C47" s="195"/>
      <c r="D47" s="195"/>
      <c r="E47" s="195"/>
      <c r="F47" s="195"/>
      <c r="G47" s="195"/>
      <c r="H47" s="195"/>
      <c r="I47" s="196"/>
      <c r="J47" s="1"/>
      <c r="K47" s="1"/>
      <c r="L47" s="1"/>
      <c r="M47" s="1"/>
      <c r="N47" s="1"/>
      <c r="O47" s="1"/>
      <c r="P47" s="1"/>
      <c r="Q47" s="1"/>
      <c r="R47" s="1"/>
    </row>
    <row r="48" spans="1:18" ht="27" customHeight="1">
      <c r="A48" s="279" t="s">
        <v>242</v>
      </c>
      <c r="B48" s="195"/>
      <c r="C48" s="195"/>
      <c r="D48" s="195"/>
      <c r="E48" s="195"/>
      <c r="F48" s="195"/>
      <c r="G48" s="195"/>
      <c r="H48" s="195"/>
      <c r="I48" s="196"/>
      <c r="J48" s="1"/>
      <c r="K48" s="1"/>
      <c r="L48" s="1"/>
      <c r="M48" s="1"/>
      <c r="N48" s="1"/>
      <c r="O48" s="1"/>
      <c r="P48" s="1"/>
      <c r="Q48" s="1"/>
      <c r="R48" s="1"/>
    </row>
    <row r="49" spans="1:18" ht="22.5" customHeight="1">
      <c r="A49" s="33" t="s">
        <v>53</v>
      </c>
      <c r="B49" s="280" t="s">
        <v>243</v>
      </c>
      <c r="C49" s="195"/>
      <c r="D49" s="195"/>
      <c r="E49" s="195"/>
      <c r="F49" s="195"/>
      <c r="G49" s="195"/>
      <c r="H49" s="196"/>
      <c r="I49" s="34" t="s">
        <v>55</v>
      </c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33" t="s">
        <v>4</v>
      </c>
      <c r="B50" s="253" t="s">
        <v>244</v>
      </c>
      <c r="C50" s="195"/>
      <c r="D50" s="195"/>
      <c r="E50" s="195"/>
      <c r="F50" s="195"/>
      <c r="G50" s="196"/>
      <c r="H50" s="35">
        <v>8.3299999999999999E-2</v>
      </c>
      <c r="I50" s="36">
        <f>ROUND(I38*H50,2)</f>
        <v>103.51</v>
      </c>
      <c r="J50" s="1"/>
      <c r="K50" s="1"/>
      <c r="L50" s="1"/>
      <c r="M50" s="1"/>
      <c r="N50" s="1"/>
      <c r="O50" s="1"/>
      <c r="P50" s="1"/>
      <c r="Q50" s="1"/>
      <c r="R50" s="1"/>
    </row>
    <row r="51" spans="1:18" ht="24" customHeight="1">
      <c r="A51" s="33" t="s">
        <v>6</v>
      </c>
      <c r="B51" s="281" t="s">
        <v>245</v>
      </c>
      <c r="C51" s="195"/>
      <c r="D51" s="195"/>
      <c r="E51" s="195"/>
      <c r="F51" s="195"/>
      <c r="G51" s="196"/>
      <c r="H51" s="39">
        <v>3.0249999999999999E-2</v>
      </c>
      <c r="I51" s="36">
        <f>ROUND(I38*H51,2)</f>
        <v>37.590000000000003</v>
      </c>
      <c r="J51" s="1"/>
      <c r="K51" s="1"/>
      <c r="L51" s="1"/>
      <c r="M51" s="1"/>
      <c r="N51" s="1"/>
      <c r="O51" s="1"/>
      <c r="P51" s="1"/>
      <c r="Q51" s="1"/>
      <c r="R51" s="1"/>
    </row>
    <row r="52" spans="1:18" ht="12.75" customHeight="1">
      <c r="A52" s="282" t="s">
        <v>58</v>
      </c>
      <c r="B52" s="195"/>
      <c r="C52" s="195"/>
      <c r="D52" s="195"/>
      <c r="E52" s="195"/>
      <c r="F52" s="195"/>
      <c r="G52" s="195"/>
      <c r="H52" s="196"/>
      <c r="I52" s="40">
        <f>SUM(I50+I51)</f>
        <v>141.10000000000002</v>
      </c>
      <c r="J52" s="1"/>
      <c r="K52" s="1"/>
      <c r="L52" s="1"/>
      <c r="M52" s="1"/>
      <c r="N52" s="1"/>
      <c r="O52" s="1"/>
      <c r="P52" s="1"/>
      <c r="Q52" s="1"/>
      <c r="R52" s="1"/>
    </row>
    <row r="53" spans="1:18" ht="12.75" customHeight="1">
      <c r="A53" s="11" t="s">
        <v>9</v>
      </c>
      <c r="B53" s="233" t="s">
        <v>59</v>
      </c>
      <c r="C53" s="195"/>
      <c r="D53" s="195"/>
      <c r="E53" s="195"/>
      <c r="F53" s="195"/>
      <c r="G53" s="195"/>
      <c r="H53" s="196"/>
      <c r="I53" s="41">
        <f>ROUND($H$66*I52,2)</f>
        <v>51.92</v>
      </c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>
      <c r="A54" s="257" t="s">
        <v>58</v>
      </c>
      <c r="B54" s="195"/>
      <c r="C54" s="195"/>
      <c r="D54" s="195"/>
      <c r="E54" s="195"/>
      <c r="F54" s="195"/>
      <c r="G54" s="195"/>
      <c r="H54" s="196"/>
      <c r="I54" s="42">
        <f>SUM(I52+I53)</f>
        <v>193.02000000000004</v>
      </c>
      <c r="J54" s="1"/>
      <c r="K54" s="1"/>
      <c r="L54" s="1"/>
      <c r="M54" s="1"/>
      <c r="N54" s="1"/>
      <c r="O54" s="1"/>
      <c r="P54" s="1"/>
      <c r="Q54" s="1"/>
      <c r="R54" s="1"/>
    </row>
    <row r="55" spans="1:18" ht="7.5" customHeight="1">
      <c r="A55" s="275"/>
      <c r="B55" s="195"/>
      <c r="C55" s="195"/>
      <c r="D55" s="195"/>
      <c r="E55" s="195"/>
      <c r="F55" s="195"/>
      <c r="G55" s="195"/>
      <c r="H55" s="195"/>
      <c r="I55" s="196"/>
      <c r="J55" s="1"/>
      <c r="K55" s="1"/>
      <c r="L55" s="1"/>
      <c r="M55" s="1"/>
      <c r="N55" s="1"/>
      <c r="O55" s="1"/>
      <c r="P55" s="1"/>
      <c r="Q55" s="1"/>
      <c r="R55" s="1"/>
    </row>
    <row r="56" spans="1:18" ht="15" customHeight="1">
      <c r="A56" s="276" t="s">
        <v>246</v>
      </c>
      <c r="B56" s="195"/>
      <c r="C56" s="195"/>
      <c r="D56" s="195"/>
      <c r="E56" s="195"/>
      <c r="F56" s="195"/>
      <c r="G56" s="195"/>
      <c r="H56" s="195"/>
      <c r="I56" s="196"/>
      <c r="J56" s="1"/>
      <c r="K56" s="1"/>
      <c r="L56" s="1"/>
      <c r="M56" s="1"/>
      <c r="N56" s="1"/>
      <c r="O56" s="1"/>
      <c r="P56" s="1"/>
      <c r="Q56" s="1"/>
      <c r="R56" s="1"/>
    </row>
    <row r="57" spans="1:18" ht="30" customHeight="1">
      <c r="A57" s="43" t="s">
        <v>61</v>
      </c>
      <c r="B57" s="273" t="s">
        <v>62</v>
      </c>
      <c r="C57" s="195"/>
      <c r="D57" s="195"/>
      <c r="E57" s="195"/>
      <c r="F57" s="195"/>
      <c r="G57" s="196"/>
      <c r="H57" s="44" t="s">
        <v>37</v>
      </c>
      <c r="I57" s="45" t="s">
        <v>63</v>
      </c>
      <c r="J57" s="1"/>
      <c r="K57" s="1"/>
      <c r="L57" s="1"/>
      <c r="M57" s="1"/>
      <c r="N57" s="1"/>
      <c r="O57" s="1"/>
      <c r="P57" s="1"/>
      <c r="Q57" s="1"/>
      <c r="R57" s="1"/>
    </row>
    <row r="58" spans="1:18" ht="12.75" customHeight="1">
      <c r="A58" s="46" t="s">
        <v>4</v>
      </c>
      <c r="B58" s="233" t="s">
        <v>64</v>
      </c>
      <c r="C58" s="195"/>
      <c r="D58" s="195"/>
      <c r="E58" s="195"/>
      <c r="F58" s="195"/>
      <c r="G58" s="196"/>
      <c r="H58" s="47">
        <v>0.2</v>
      </c>
      <c r="I58" s="40">
        <f>ROUND((I38+I54)*H58,2)</f>
        <v>287.13</v>
      </c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46" t="s">
        <v>6</v>
      </c>
      <c r="B59" s="233" t="s">
        <v>65</v>
      </c>
      <c r="C59" s="195"/>
      <c r="D59" s="195"/>
      <c r="E59" s="195"/>
      <c r="F59" s="195"/>
      <c r="G59" s="196"/>
      <c r="H59" s="47">
        <v>2.5000000000000001E-2</v>
      </c>
      <c r="I59" s="40">
        <f>ROUND((I38+I54)*H59,2)</f>
        <v>35.89</v>
      </c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46" t="s">
        <v>9</v>
      </c>
      <c r="B60" s="276" t="s">
        <v>247</v>
      </c>
      <c r="C60" s="196"/>
      <c r="D60" s="49" t="s">
        <v>67</v>
      </c>
      <c r="E60" s="50">
        <v>0.03</v>
      </c>
      <c r="F60" s="49" t="s">
        <v>68</v>
      </c>
      <c r="G60" s="51">
        <v>1</v>
      </c>
      <c r="H60" s="52">
        <f>ROUND((E60*G60),6)</f>
        <v>0.03</v>
      </c>
      <c r="I60" s="40">
        <f>ROUND((I38+I54)*H60,2)</f>
        <v>43.07</v>
      </c>
      <c r="J60" s="1"/>
      <c r="K60" s="1"/>
      <c r="L60" s="1"/>
      <c r="M60" s="1"/>
      <c r="N60" s="1"/>
      <c r="O60" s="1"/>
      <c r="P60" s="1"/>
      <c r="Q60" s="1"/>
      <c r="R60" s="1"/>
    </row>
    <row r="61" spans="1:18" ht="12.75" customHeight="1">
      <c r="A61" s="46" t="s">
        <v>11</v>
      </c>
      <c r="B61" s="233" t="s">
        <v>69</v>
      </c>
      <c r="C61" s="195"/>
      <c r="D61" s="195"/>
      <c r="E61" s="195"/>
      <c r="F61" s="195"/>
      <c r="G61" s="196"/>
      <c r="H61" s="47">
        <v>1.4999999999999999E-2</v>
      </c>
      <c r="I61" s="40">
        <f>ROUND((I38+I54)*H61,2)</f>
        <v>21.53</v>
      </c>
      <c r="J61" s="1"/>
      <c r="K61" s="1"/>
      <c r="L61" s="1"/>
      <c r="M61" s="1"/>
      <c r="N61" s="1"/>
      <c r="O61" s="1"/>
      <c r="P61" s="1"/>
      <c r="Q61" s="1"/>
      <c r="R61" s="1"/>
    </row>
    <row r="62" spans="1:18" ht="12.75" customHeight="1">
      <c r="A62" s="46" t="s">
        <v>43</v>
      </c>
      <c r="B62" s="233" t="s">
        <v>70</v>
      </c>
      <c r="C62" s="195"/>
      <c r="D62" s="195"/>
      <c r="E62" s="195"/>
      <c r="F62" s="195"/>
      <c r="G62" s="196"/>
      <c r="H62" s="47">
        <v>0.01</v>
      </c>
      <c r="I62" s="40">
        <f>ROUND((I38+I54)*H62,2)</f>
        <v>14.36</v>
      </c>
      <c r="J62" s="1"/>
      <c r="K62" s="1"/>
      <c r="L62" s="1"/>
      <c r="M62" s="1"/>
      <c r="N62" s="1"/>
      <c r="O62" s="1"/>
      <c r="P62" s="1"/>
      <c r="Q62" s="1"/>
      <c r="R62" s="1"/>
    </row>
    <row r="63" spans="1:18" ht="12.75" customHeight="1">
      <c r="A63" s="46" t="s">
        <v>71</v>
      </c>
      <c r="B63" s="233" t="s">
        <v>72</v>
      </c>
      <c r="C63" s="195"/>
      <c r="D63" s="195"/>
      <c r="E63" s="195"/>
      <c r="F63" s="195"/>
      <c r="G63" s="196"/>
      <c r="H63" s="47">
        <v>6.0000000000000001E-3</v>
      </c>
      <c r="I63" s="40">
        <f>ROUND((I38+I54)*H63,2)</f>
        <v>8.61</v>
      </c>
      <c r="J63" s="1"/>
      <c r="K63" s="1"/>
      <c r="L63" s="1"/>
      <c r="M63" s="1"/>
      <c r="N63" s="1"/>
      <c r="O63" s="1"/>
      <c r="P63" s="1"/>
      <c r="Q63" s="1"/>
      <c r="R63" s="1"/>
    </row>
    <row r="64" spans="1:18" ht="12.75" customHeight="1">
      <c r="A64" s="46" t="s">
        <v>73</v>
      </c>
      <c r="B64" s="233" t="s">
        <v>74</v>
      </c>
      <c r="C64" s="195"/>
      <c r="D64" s="195"/>
      <c r="E64" s="195"/>
      <c r="F64" s="195"/>
      <c r="G64" s="196"/>
      <c r="H64" s="47">
        <v>2E-3</v>
      </c>
      <c r="I64" s="40">
        <f>ROUND((I38+I54)*H64,2)</f>
        <v>2.87</v>
      </c>
      <c r="J64" s="1"/>
      <c r="K64" s="1"/>
      <c r="L64" s="1"/>
      <c r="M64" s="1"/>
      <c r="N64" s="1"/>
      <c r="O64" s="1"/>
      <c r="P64" s="1"/>
      <c r="Q64" s="1"/>
      <c r="R64" s="1"/>
    </row>
    <row r="65" spans="1:18" ht="12.75" customHeight="1">
      <c r="A65" s="46" t="s">
        <v>75</v>
      </c>
      <c r="B65" s="233" t="s">
        <v>76</v>
      </c>
      <c r="C65" s="195"/>
      <c r="D65" s="195"/>
      <c r="E65" s="195"/>
      <c r="F65" s="195"/>
      <c r="G65" s="196"/>
      <c r="H65" s="47">
        <v>0.08</v>
      </c>
      <c r="I65" s="40">
        <f>ROUND((I38+I54)*H65,2)</f>
        <v>114.85</v>
      </c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>
      <c r="A66" s="207" t="s">
        <v>58</v>
      </c>
      <c r="B66" s="195"/>
      <c r="C66" s="195"/>
      <c r="D66" s="195"/>
      <c r="E66" s="195"/>
      <c r="F66" s="195"/>
      <c r="G66" s="196"/>
      <c r="H66" s="53">
        <f t="shared" ref="H66:I66" si="0">SUM(H58:H65)</f>
        <v>0.36800000000000005</v>
      </c>
      <c r="I66" s="42">
        <f t="shared" si="0"/>
        <v>528.31000000000006</v>
      </c>
      <c r="J66" s="1"/>
      <c r="K66" s="1"/>
      <c r="L66" s="1"/>
      <c r="M66" s="1"/>
      <c r="N66" s="1"/>
      <c r="O66" s="1"/>
      <c r="P66" s="1"/>
      <c r="Q66" s="1"/>
      <c r="R66" s="1"/>
    </row>
    <row r="67" spans="1:18" ht="8.25" customHeight="1">
      <c r="A67" s="54"/>
      <c r="B67" s="55"/>
      <c r="C67" s="55"/>
      <c r="D67" s="55"/>
      <c r="E67" s="55"/>
      <c r="F67" s="55"/>
      <c r="G67" s="55"/>
      <c r="H67" s="56"/>
      <c r="I67" s="57"/>
      <c r="J67" s="1"/>
      <c r="K67" s="1"/>
      <c r="L67" s="1"/>
      <c r="M67" s="1"/>
      <c r="N67" s="1"/>
      <c r="O67" s="1"/>
      <c r="P67" s="1"/>
      <c r="Q67" s="1"/>
      <c r="R67" s="1"/>
    </row>
    <row r="68" spans="1:18" ht="35.25" customHeight="1">
      <c r="A68" s="266" t="s">
        <v>77</v>
      </c>
      <c r="B68" s="195"/>
      <c r="C68" s="195"/>
      <c r="D68" s="195"/>
      <c r="E68" s="195"/>
      <c r="F68" s="195"/>
      <c r="G68" s="195"/>
      <c r="H68" s="195"/>
      <c r="I68" s="196"/>
      <c r="J68" s="1"/>
      <c r="K68" s="1"/>
      <c r="L68" s="1"/>
      <c r="M68" s="1"/>
      <c r="N68" s="1"/>
      <c r="O68" s="1"/>
      <c r="P68" s="1"/>
      <c r="Q68" s="1"/>
      <c r="R68" s="1"/>
    </row>
    <row r="69" spans="1:18" ht="9.75" customHeight="1">
      <c r="A69" s="274"/>
      <c r="B69" s="195"/>
      <c r="C69" s="195"/>
      <c r="D69" s="195"/>
      <c r="E69" s="195"/>
      <c r="F69" s="195"/>
      <c r="G69" s="195"/>
      <c r="H69" s="195"/>
      <c r="I69" s="196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>
      <c r="A70" s="249" t="s">
        <v>78</v>
      </c>
      <c r="B70" s="195"/>
      <c r="C70" s="195"/>
      <c r="D70" s="195"/>
      <c r="E70" s="195"/>
      <c r="F70" s="195"/>
      <c r="G70" s="195"/>
      <c r="H70" s="195"/>
      <c r="I70" s="196"/>
      <c r="J70" s="1"/>
      <c r="K70" s="1"/>
      <c r="L70" s="1"/>
      <c r="M70" s="1"/>
      <c r="N70" s="1"/>
      <c r="O70" s="1"/>
      <c r="P70" s="1"/>
      <c r="Q70" s="1"/>
      <c r="R70" s="1"/>
    </row>
    <row r="71" spans="1:18" ht="27" customHeight="1">
      <c r="A71" s="58" t="s">
        <v>79</v>
      </c>
      <c r="B71" s="252" t="s">
        <v>80</v>
      </c>
      <c r="C71" s="195"/>
      <c r="D71" s="195"/>
      <c r="E71" s="195"/>
      <c r="F71" s="195"/>
      <c r="G71" s="195"/>
      <c r="H71" s="196"/>
      <c r="I71" s="45" t="s">
        <v>55</v>
      </c>
      <c r="J71" s="1"/>
      <c r="K71" s="1"/>
      <c r="L71" s="1"/>
      <c r="M71" s="1"/>
      <c r="N71" s="1"/>
      <c r="O71" s="1"/>
      <c r="P71" s="1"/>
      <c r="Q71" s="1"/>
      <c r="R71" s="1"/>
    </row>
    <row r="72" spans="1:18" ht="12.75" customHeight="1">
      <c r="A72" s="59" t="s">
        <v>4</v>
      </c>
      <c r="B72" s="233" t="s">
        <v>248</v>
      </c>
      <c r="C72" s="195"/>
      <c r="D72" s="195"/>
      <c r="E72" s="195"/>
      <c r="F72" s="195"/>
      <c r="G72" s="195"/>
      <c r="H72" s="195"/>
      <c r="I72" s="40">
        <f>IF(ROUND((H73*H75*H74)-(I33*H76),2)&lt;0,0,ROUND((H73*H75*H74)-(I33*H76),2))</f>
        <v>141.16</v>
      </c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>
      <c r="A73" s="60"/>
      <c r="B73" s="234" t="s">
        <v>82</v>
      </c>
      <c r="C73" s="195"/>
      <c r="D73" s="195"/>
      <c r="E73" s="195"/>
      <c r="F73" s="195"/>
      <c r="G73" s="195"/>
      <c r="H73" s="61">
        <v>4.8</v>
      </c>
      <c r="I73" s="62" t="s">
        <v>83</v>
      </c>
      <c r="J73" s="1"/>
      <c r="K73" s="1"/>
      <c r="L73" s="1"/>
      <c r="M73" s="1"/>
      <c r="N73" s="1"/>
      <c r="O73" s="1"/>
      <c r="P73" s="1"/>
      <c r="Q73" s="1"/>
      <c r="R73" s="1"/>
    </row>
    <row r="74" spans="1:18" ht="12.75" customHeight="1">
      <c r="A74" s="59"/>
      <c r="B74" s="233" t="s">
        <v>249</v>
      </c>
      <c r="C74" s="195"/>
      <c r="D74" s="195"/>
      <c r="E74" s="195"/>
      <c r="F74" s="195"/>
      <c r="G74" s="196"/>
      <c r="H74" s="63">
        <v>2</v>
      </c>
      <c r="I74" s="64" t="s">
        <v>83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59"/>
      <c r="B75" s="248" t="s">
        <v>85</v>
      </c>
      <c r="C75" s="195"/>
      <c r="D75" s="195"/>
      <c r="E75" s="195"/>
      <c r="F75" s="195"/>
      <c r="G75" s="196"/>
      <c r="H75" s="65">
        <v>22</v>
      </c>
      <c r="I75" s="64"/>
      <c r="J75" s="1"/>
      <c r="K75" s="1"/>
      <c r="L75" s="1"/>
      <c r="M75" s="1"/>
      <c r="N75" s="1"/>
      <c r="O75" s="1"/>
      <c r="P75" s="1"/>
      <c r="Q75" s="1"/>
      <c r="R75" s="1"/>
    </row>
    <row r="76" spans="1:18" ht="12.75" customHeight="1">
      <c r="A76" s="59"/>
      <c r="B76" s="248" t="s">
        <v>86</v>
      </c>
      <c r="C76" s="195"/>
      <c r="D76" s="195"/>
      <c r="E76" s="195"/>
      <c r="F76" s="195"/>
      <c r="G76" s="196"/>
      <c r="H76" s="66">
        <v>0.06</v>
      </c>
      <c r="I76" s="64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59" t="s">
        <v>6</v>
      </c>
      <c r="B77" s="233" t="s">
        <v>250</v>
      </c>
      <c r="C77" s="195"/>
      <c r="D77" s="195"/>
      <c r="E77" s="195"/>
      <c r="F77" s="195"/>
      <c r="G77" s="195"/>
      <c r="H77" s="195"/>
      <c r="I77" s="40">
        <f>ROUND(H79*H78*(1-H80),2)*1+ROUND(21.726*6*(1-H80),2)*0</f>
        <v>324.32</v>
      </c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>
      <c r="A78" s="60"/>
      <c r="B78" s="248" t="s">
        <v>88</v>
      </c>
      <c r="C78" s="195"/>
      <c r="D78" s="195"/>
      <c r="E78" s="195"/>
      <c r="F78" s="195"/>
      <c r="G78" s="195"/>
      <c r="H78" s="67">
        <v>18.2</v>
      </c>
      <c r="I78" s="62" t="s">
        <v>83</v>
      </c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>
      <c r="A79" s="59"/>
      <c r="B79" s="233" t="s">
        <v>251</v>
      </c>
      <c r="C79" s="195"/>
      <c r="D79" s="195"/>
      <c r="E79" s="195"/>
      <c r="F79" s="195"/>
      <c r="G79" s="195"/>
      <c r="H79" s="65">
        <v>22</v>
      </c>
      <c r="I79" s="64"/>
      <c r="J79" s="1"/>
      <c r="K79" s="1"/>
      <c r="L79" s="1"/>
      <c r="M79" s="1"/>
      <c r="N79" s="1"/>
      <c r="O79" s="1"/>
      <c r="P79" s="1"/>
      <c r="Q79" s="1"/>
      <c r="R79" s="1"/>
    </row>
    <row r="80" spans="1:18" ht="12.75" customHeight="1">
      <c r="A80" s="60"/>
      <c r="B80" s="248" t="s">
        <v>91</v>
      </c>
      <c r="C80" s="195"/>
      <c r="D80" s="195"/>
      <c r="E80" s="195"/>
      <c r="F80" s="195"/>
      <c r="G80" s="196"/>
      <c r="H80" s="66">
        <v>0.19</v>
      </c>
      <c r="I80" s="62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>
      <c r="A81" s="60" t="s">
        <v>9</v>
      </c>
      <c r="B81" s="234" t="s">
        <v>93</v>
      </c>
      <c r="C81" s="195"/>
      <c r="D81" s="195"/>
      <c r="E81" s="195"/>
      <c r="F81" s="195"/>
      <c r="G81" s="195"/>
      <c r="H81" s="195"/>
      <c r="I81" s="68">
        <v>15.62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ht="24" customHeight="1">
      <c r="A82" s="60" t="s">
        <v>11</v>
      </c>
      <c r="B82" s="234" t="s">
        <v>95</v>
      </c>
      <c r="C82" s="195"/>
      <c r="D82" s="195"/>
      <c r="E82" s="195"/>
      <c r="F82" s="195"/>
      <c r="G82" s="195"/>
      <c r="H82" s="195"/>
      <c r="I82" s="68">
        <v>0</v>
      </c>
      <c r="J82" s="1"/>
      <c r="K82" s="1"/>
      <c r="L82" s="1"/>
      <c r="M82" s="1"/>
      <c r="N82" s="1"/>
      <c r="O82" s="1"/>
      <c r="P82" s="1"/>
      <c r="Q82" s="1"/>
      <c r="R82" s="1"/>
    </row>
    <row r="83" spans="1:18" ht="12.75" customHeight="1">
      <c r="A83" s="60" t="s">
        <v>43</v>
      </c>
      <c r="B83" s="234" t="s">
        <v>96</v>
      </c>
      <c r="C83" s="195"/>
      <c r="D83" s="195"/>
      <c r="E83" s="195"/>
      <c r="F83" s="195"/>
      <c r="G83" s="195"/>
      <c r="H83" s="196"/>
      <c r="I83" s="68">
        <v>0</v>
      </c>
      <c r="J83" s="1"/>
      <c r="K83" s="1"/>
      <c r="L83" s="1"/>
      <c r="M83" s="1"/>
      <c r="N83" s="1"/>
      <c r="O83" s="1"/>
      <c r="P83" s="1"/>
      <c r="Q83" s="1"/>
      <c r="R83" s="1"/>
    </row>
    <row r="84" spans="1:18" ht="12.75" customHeight="1">
      <c r="A84" s="60" t="s">
        <v>71</v>
      </c>
      <c r="B84" s="270" t="s">
        <v>252</v>
      </c>
      <c r="C84" s="195"/>
      <c r="D84" s="195"/>
      <c r="E84" s="195"/>
      <c r="F84" s="195"/>
      <c r="G84" s="195"/>
      <c r="H84" s="195"/>
      <c r="I84" s="72">
        <v>0</v>
      </c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73"/>
      <c r="B85" s="207" t="s">
        <v>58</v>
      </c>
      <c r="C85" s="195"/>
      <c r="D85" s="195"/>
      <c r="E85" s="195"/>
      <c r="F85" s="195"/>
      <c r="G85" s="195"/>
      <c r="H85" s="216"/>
      <c r="I85" s="42">
        <f>SUM(I72:I84)</f>
        <v>481.1</v>
      </c>
      <c r="J85" s="1"/>
      <c r="K85" s="1"/>
      <c r="L85" s="1"/>
      <c r="M85" s="1"/>
      <c r="N85" s="1"/>
      <c r="O85" s="1"/>
      <c r="P85" s="1"/>
      <c r="Q85" s="1"/>
      <c r="R85" s="1"/>
    </row>
    <row r="86" spans="1:18" ht="8.25" customHeight="1">
      <c r="A86" s="271"/>
      <c r="B86" s="195"/>
      <c r="C86" s="195"/>
      <c r="D86" s="195"/>
      <c r="E86" s="195"/>
      <c r="F86" s="195"/>
      <c r="G86" s="195"/>
      <c r="H86" s="195"/>
      <c r="I86" s="196"/>
      <c r="J86" s="1"/>
      <c r="K86" s="1"/>
      <c r="L86" s="1"/>
      <c r="M86" s="1"/>
      <c r="N86" s="1"/>
      <c r="O86" s="1"/>
      <c r="P86" s="1"/>
      <c r="Q86" s="1"/>
      <c r="R86" s="1"/>
    </row>
    <row r="87" spans="1:18" ht="17.25" customHeight="1">
      <c r="A87" s="272" t="s">
        <v>98</v>
      </c>
      <c r="B87" s="195"/>
      <c r="C87" s="195"/>
      <c r="D87" s="195"/>
      <c r="E87" s="195"/>
      <c r="F87" s="195"/>
      <c r="G87" s="195"/>
      <c r="H87" s="195"/>
      <c r="I87" s="196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>
      <c r="A88" s="74">
        <v>2</v>
      </c>
      <c r="B88" s="273" t="s">
        <v>99</v>
      </c>
      <c r="C88" s="195"/>
      <c r="D88" s="195"/>
      <c r="E88" s="195"/>
      <c r="F88" s="195"/>
      <c r="G88" s="195"/>
      <c r="H88" s="196"/>
      <c r="I88" s="74" t="s">
        <v>55</v>
      </c>
      <c r="J88" s="1"/>
      <c r="K88" s="1"/>
      <c r="L88" s="1"/>
      <c r="M88" s="1"/>
      <c r="N88" s="1"/>
      <c r="O88" s="1"/>
      <c r="P88" s="1"/>
      <c r="Q88" s="1"/>
      <c r="R88" s="1"/>
    </row>
    <row r="89" spans="1:18" ht="14.25" customHeight="1">
      <c r="A89" s="9" t="s">
        <v>53</v>
      </c>
      <c r="B89" s="253" t="s">
        <v>253</v>
      </c>
      <c r="C89" s="195"/>
      <c r="D89" s="195"/>
      <c r="E89" s="195"/>
      <c r="F89" s="195"/>
      <c r="G89" s="195"/>
      <c r="H89" s="196"/>
      <c r="I89" s="75">
        <f>I54</f>
        <v>193.02000000000004</v>
      </c>
      <c r="J89" s="1"/>
      <c r="K89" s="1"/>
      <c r="L89" s="1"/>
      <c r="M89" s="1"/>
      <c r="N89" s="1"/>
      <c r="O89" s="1"/>
      <c r="P89" s="1"/>
      <c r="Q89" s="1"/>
      <c r="R89" s="1"/>
    </row>
    <row r="90" spans="1:18" ht="14.25" customHeight="1">
      <c r="A90" s="9" t="s">
        <v>61</v>
      </c>
      <c r="B90" s="253" t="s">
        <v>62</v>
      </c>
      <c r="C90" s="195"/>
      <c r="D90" s="195"/>
      <c r="E90" s="195"/>
      <c r="F90" s="195"/>
      <c r="G90" s="195"/>
      <c r="H90" s="196"/>
      <c r="I90" s="75">
        <f>I66</f>
        <v>528.31000000000006</v>
      </c>
      <c r="J90" s="1"/>
      <c r="K90" s="1"/>
      <c r="L90" s="1"/>
      <c r="M90" s="1"/>
      <c r="N90" s="1"/>
      <c r="O90" s="1"/>
      <c r="P90" s="1"/>
      <c r="Q90" s="1"/>
      <c r="R90" s="1"/>
    </row>
    <row r="91" spans="1:18" ht="14.25" customHeight="1">
      <c r="A91" s="9" t="s">
        <v>79</v>
      </c>
      <c r="B91" s="253" t="s">
        <v>80</v>
      </c>
      <c r="C91" s="195"/>
      <c r="D91" s="195"/>
      <c r="E91" s="195"/>
      <c r="F91" s="195"/>
      <c r="G91" s="195"/>
      <c r="H91" s="196"/>
      <c r="I91" s="75">
        <f>I85</f>
        <v>481.1</v>
      </c>
      <c r="J91" s="1"/>
      <c r="K91" s="1"/>
      <c r="L91" s="1"/>
      <c r="M91" s="1"/>
      <c r="N91" s="1"/>
      <c r="O91" s="1"/>
      <c r="P91" s="1"/>
      <c r="Q91" s="1"/>
      <c r="R91" s="1"/>
    </row>
    <row r="92" spans="1:18" ht="14.25" customHeight="1">
      <c r="A92" s="262" t="s">
        <v>58</v>
      </c>
      <c r="B92" s="195"/>
      <c r="C92" s="195"/>
      <c r="D92" s="195"/>
      <c r="E92" s="195"/>
      <c r="F92" s="195"/>
      <c r="G92" s="195"/>
      <c r="H92" s="196"/>
      <c r="I92" s="78">
        <f>SUM(I89+I90+I91)</f>
        <v>1202.4300000000003</v>
      </c>
      <c r="J92" s="1"/>
      <c r="K92" s="1"/>
      <c r="L92" s="1"/>
      <c r="M92" s="1"/>
      <c r="N92" s="1"/>
      <c r="O92" s="1"/>
      <c r="P92" s="1"/>
      <c r="Q92" s="1"/>
      <c r="R92" s="1"/>
    </row>
    <row r="93" spans="1:18" ht="8.25" customHeight="1">
      <c r="A93" s="269"/>
      <c r="B93" s="195"/>
      <c r="C93" s="195"/>
      <c r="D93" s="195"/>
      <c r="E93" s="195"/>
      <c r="F93" s="195"/>
      <c r="G93" s="195"/>
      <c r="H93" s="195"/>
      <c r="I93" s="196"/>
      <c r="J93" s="1"/>
      <c r="K93" s="1"/>
      <c r="L93" s="1"/>
      <c r="M93" s="1"/>
      <c r="N93" s="1"/>
      <c r="O93" s="1"/>
      <c r="P93" s="1"/>
      <c r="Q93" s="1"/>
      <c r="R93" s="1"/>
    </row>
    <row r="94" spans="1:18" ht="20.25" customHeight="1">
      <c r="A94" s="246" t="s">
        <v>101</v>
      </c>
      <c r="B94" s="195"/>
      <c r="C94" s="195"/>
      <c r="D94" s="195"/>
      <c r="E94" s="195"/>
      <c r="F94" s="195"/>
      <c r="G94" s="195"/>
      <c r="H94" s="195"/>
      <c r="I94" s="196"/>
      <c r="J94" s="1"/>
      <c r="K94" s="1"/>
      <c r="L94" s="1"/>
      <c r="M94" s="1"/>
      <c r="N94" s="1"/>
      <c r="O94" s="1"/>
      <c r="P94" s="1"/>
      <c r="Q94" s="1"/>
      <c r="R94" s="1"/>
    </row>
    <row r="95" spans="1:18" ht="15" customHeight="1">
      <c r="A95" s="58">
        <v>3</v>
      </c>
      <c r="B95" s="247" t="s">
        <v>102</v>
      </c>
      <c r="C95" s="195"/>
      <c r="D95" s="195"/>
      <c r="E95" s="195"/>
      <c r="F95" s="195"/>
      <c r="G95" s="195"/>
      <c r="H95" s="196"/>
      <c r="I95" s="58" t="s">
        <v>55</v>
      </c>
      <c r="J95" s="1"/>
      <c r="K95" s="1"/>
      <c r="L95" s="1"/>
      <c r="M95" s="1"/>
      <c r="N95" s="1"/>
      <c r="O95" s="1"/>
      <c r="P95" s="1"/>
      <c r="Q95" s="1"/>
      <c r="R95" s="1"/>
    </row>
    <row r="96" spans="1:18" ht="38.25" customHeight="1">
      <c r="A96" s="59" t="s">
        <v>4</v>
      </c>
      <c r="B96" s="233" t="s">
        <v>254</v>
      </c>
      <c r="C96" s="195"/>
      <c r="D96" s="195"/>
      <c r="E96" s="195"/>
      <c r="F96" s="195"/>
      <c r="G96" s="195"/>
      <c r="H96" s="196"/>
      <c r="I96" s="40">
        <f>ROUND(((I38/12)+($I$50/12)+(I38/12/12)+($I$51/12))*(30/30)*0.05,2)</f>
        <v>6.2</v>
      </c>
      <c r="J96" s="1"/>
      <c r="K96" s="1"/>
      <c r="L96" s="1"/>
      <c r="M96" s="1"/>
      <c r="N96" s="1"/>
      <c r="O96" s="1"/>
      <c r="P96" s="1"/>
      <c r="Q96" s="1"/>
      <c r="R96" s="1"/>
    </row>
    <row r="97" spans="1:18" ht="14.25" customHeight="1">
      <c r="A97" s="60" t="s">
        <v>6</v>
      </c>
      <c r="B97" s="270" t="s">
        <v>105</v>
      </c>
      <c r="C97" s="195"/>
      <c r="D97" s="195"/>
      <c r="E97" s="195"/>
      <c r="F97" s="195"/>
      <c r="G97" s="195"/>
      <c r="H97" s="196"/>
      <c r="I97" s="81">
        <f>ROUND(H65*I96,2)</f>
        <v>0.5</v>
      </c>
      <c r="J97" s="1"/>
      <c r="K97" s="1"/>
      <c r="L97" s="1"/>
      <c r="M97" s="1"/>
      <c r="N97" s="1"/>
      <c r="O97" s="1"/>
      <c r="P97" s="1"/>
      <c r="Q97" s="1"/>
      <c r="R97" s="1"/>
    </row>
    <row r="98" spans="1:18" ht="14.25" customHeight="1">
      <c r="A98" s="60" t="s">
        <v>9</v>
      </c>
      <c r="B98" s="270" t="s">
        <v>106</v>
      </c>
      <c r="C98" s="195"/>
      <c r="D98" s="195"/>
      <c r="E98" s="195"/>
      <c r="F98" s="195"/>
      <c r="G98" s="195"/>
      <c r="H98" s="196"/>
      <c r="I98" s="82">
        <f>(40%*8%*(I38+I50+I51+I110)*5%)</f>
        <v>2.3943759542857141</v>
      </c>
      <c r="J98" s="1"/>
      <c r="K98" s="1"/>
      <c r="L98" s="1"/>
      <c r="M98" s="1"/>
      <c r="N98" s="1"/>
      <c r="O98" s="1"/>
      <c r="P98" s="1"/>
      <c r="Q98" s="1"/>
      <c r="R98" s="1"/>
    </row>
    <row r="99" spans="1:18" ht="12.75" customHeight="1">
      <c r="A99" s="59" t="s">
        <v>11</v>
      </c>
      <c r="B99" s="233" t="s">
        <v>255</v>
      </c>
      <c r="C99" s="195"/>
      <c r="D99" s="195"/>
      <c r="E99" s="195"/>
      <c r="F99" s="195"/>
      <c r="G99" s="195"/>
      <c r="H99" s="196"/>
      <c r="I99" s="84">
        <f>ROUND(((7/30)/$H$11)*I38*1,2)</f>
        <v>14.5</v>
      </c>
      <c r="J99" s="1"/>
      <c r="K99" s="1"/>
      <c r="L99" s="1"/>
      <c r="M99" s="1"/>
      <c r="N99" s="1"/>
      <c r="O99" s="1"/>
      <c r="P99" s="1"/>
      <c r="Q99" s="1"/>
      <c r="R99" s="1"/>
    </row>
    <row r="100" spans="1:18" ht="12.75" customHeight="1">
      <c r="A100" s="59" t="s">
        <v>43</v>
      </c>
      <c r="B100" s="250" t="s">
        <v>108</v>
      </c>
      <c r="C100" s="195"/>
      <c r="D100" s="195"/>
      <c r="E100" s="195"/>
      <c r="F100" s="195"/>
      <c r="G100" s="195"/>
      <c r="H100" s="196"/>
      <c r="I100" s="40">
        <f>ROUND($H$66*I99,2)</f>
        <v>5.34</v>
      </c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40.5" customHeight="1">
      <c r="A101" s="60" t="s">
        <v>71</v>
      </c>
      <c r="B101" s="234" t="s">
        <v>256</v>
      </c>
      <c r="C101" s="195"/>
      <c r="D101" s="195"/>
      <c r="E101" s="195"/>
      <c r="F101" s="195"/>
      <c r="G101" s="196"/>
      <c r="H101" s="85">
        <v>0.04</v>
      </c>
      <c r="I101" s="68">
        <f>(40%*8%*(I38+I50+I51+I110)*100%)</f>
        <v>47.887519085714281</v>
      </c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>
      <c r="A102" s="207" t="s">
        <v>110</v>
      </c>
      <c r="B102" s="195"/>
      <c r="C102" s="195"/>
      <c r="D102" s="195"/>
      <c r="E102" s="195"/>
      <c r="F102" s="195"/>
      <c r="G102" s="195"/>
      <c r="H102" s="196"/>
      <c r="I102" s="42">
        <f>SUM(I96:I101)</f>
        <v>76.821895040000001</v>
      </c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9" customHeight="1">
      <c r="A103" s="208"/>
      <c r="B103" s="195"/>
      <c r="C103" s="195"/>
      <c r="D103" s="195"/>
      <c r="E103" s="195"/>
      <c r="F103" s="195"/>
      <c r="G103" s="195"/>
      <c r="H103" s="195"/>
      <c r="I103" s="196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24" customHeight="1">
      <c r="A104" s="251" t="s">
        <v>111</v>
      </c>
      <c r="B104" s="195"/>
      <c r="C104" s="195"/>
      <c r="D104" s="195"/>
      <c r="E104" s="195"/>
      <c r="F104" s="195"/>
      <c r="G104" s="195"/>
      <c r="H104" s="195"/>
      <c r="I104" s="196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" customHeight="1">
      <c r="A105" s="266" t="s">
        <v>112</v>
      </c>
      <c r="B105" s="195"/>
      <c r="C105" s="195"/>
      <c r="D105" s="195"/>
      <c r="E105" s="195"/>
      <c r="F105" s="195"/>
      <c r="G105" s="195"/>
      <c r="H105" s="195"/>
      <c r="I105" s="196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78" customHeight="1">
      <c r="A106" s="267" t="s">
        <v>257</v>
      </c>
      <c r="B106" s="195"/>
      <c r="C106" s="195"/>
      <c r="D106" s="195"/>
      <c r="E106" s="195"/>
      <c r="F106" s="195"/>
      <c r="G106" s="195"/>
      <c r="H106" s="196"/>
      <c r="I106" s="87">
        <f>I38+I50+I51+I110</f>
        <v>1496.4849714285713</v>
      </c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7.5" customHeight="1">
      <c r="A107" s="268"/>
      <c r="B107" s="195"/>
      <c r="C107" s="195"/>
      <c r="D107" s="195"/>
      <c r="E107" s="195"/>
      <c r="F107" s="195"/>
      <c r="G107" s="195"/>
      <c r="H107" s="195"/>
      <c r="I107" s="196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 customHeight="1">
      <c r="A108" s="218" t="s">
        <v>114</v>
      </c>
      <c r="B108" s="195"/>
      <c r="C108" s="195"/>
      <c r="D108" s="195"/>
      <c r="E108" s="195"/>
      <c r="F108" s="195"/>
      <c r="G108" s="195"/>
      <c r="H108" s="195"/>
      <c r="I108" s="196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24" customHeight="1">
      <c r="A109" s="89" t="s">
        <v>115</v>
      </c>
      <c r="B109" s="247" t="s">
        <v>116</v>
      </c>
      <c r="C109" s="195"/>
      <c r="D109" s="195"/>
      <c r="E109" s="195"/>
      <c r="F109" s="195"/>
      <c r="G109" s="195"/>
      <c r="H109" s="196"/>
      <c r="I109" s="89" t="s">
        <v>55</v>
      </c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31.5" customHeight="1">
      <c r="A110" s="90" t="s">
        <v>4</v>
      </c>
      <c r="B110" s="253" t="s">
        <v>258</v>
      </c>
      <c r="C110" s="195"/>
      <c r="D110" s="195"/>
      <c r="E110" s="195"/>
      <c r="F110" s="195"/>
      <c r="G110" s="196"/>
      <c r="H110" s="91">
        <v>9.0749999999999997E-2</v>
      </c>
      <c r="I110" s="92">
        <f>ROUND(I38*H110,2)</f>
        <v>112.77</v>
      </c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 customHeight="1">
      <c r="A111" s="59" t="s">
        <v>6</v>
      </c>
      <c r="B111" s="233" t="s">
        <v>259</v>
      </c>
      <c r="C111" s="195"/>
      <c r="D111" s="195"/>
      <c r="E111" s="195"/>
      <c r="F111" s="195"/>
      <c r="G111" s="195"/>
      <c r="H111" s="196"/>
      <c r="I111" s="40">
        <f>ROUND((2.96/30)/12*($I$106),2)</f>
        <v>12.3</v>
      </c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 customHeight="1">
      <c r="A112" s="59" t="s">
        <v>9</v>
      </c>
      <c r="B112" s="233" t="s">
        <v>260</v>
      </c>
      <c r="C112" s="195"/>
      <c r="D112" s="195"/>
      <c r="E112" s="195"/>
      <c r="F112" s="195"/>
      <c r="G112" s="195"/>
      <c r="H112" s="196"/>
      <c r="I112" s="40">
        <f>ROUND((5/30)/12*0.015*($I$106),2)</f>
        <v>0.31</v>
      </c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 customHeight="1">
      <c r="A113" s="59" t="s">
        <v>11</v>
      </c>
      <c r="B113" s="233" t="s">
        <v>261</v>
      </c>
      <c r="C113" s="195"/>
      <c r="D113" s="195"/>
      <c r="E113" s="195"/>
      <c r="F113" s="195"/>
      <c r="G113" s="195"/>
      <c r="H113" s="196"/>
      <c r="I113" s="40">
        <f>ROUND(((15/30)/12)*0.0078*($I$106),2)</f>
        <v>0.49</v>
      </c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 customHeight="1">
      <c r="A114" s="59" t="s">
        <v>43</v>
      </c>
      <c r="B114" s="233" t="s">
        <v>262</v>
      </c>
      <c r="C114" s="195"/>
      <c r="D114" s="195"/>
      <c r="E114" s="195"/>
      <c r="F114" s="195"/>
      <c r="G114" s="195"/>
      <c r="H114" s="196"/>
      <c r="I114" s="40">
        <f>ROUND((1+1/3)/12*(4/12)*0.02*(I38),2)</f>
        <v>0.92</v>
      </c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 customHeight="1">
      <c r="A115" s="59" t="s">
        <v>71</v>
      </c>
      <c r="B115" s="233" t="s">
        <v>263</v>
      </c>
      <c r="C115" s="195"/>
      <c r="D115" s="195"/>
      <c r="E115" s="195"/>
      <c r="F115" s="195"/>
      <c r="G115" s="195"/>
      <c r="H115" s="196"/>
      <c r="I115" s="40">
        <f>ROUND(((3/30)/12)*($I$106),2)</f>
        <v>12.47</v>
      </c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>
      <c r="A116" s="207" t="s">
        <v>58</v>
      </c>
      <c r="B116" s="195"/>
      <c r="C116" s="195"/>
      <c r="D116" s="195"/>
      <c r="E116" s="195"/>
      <c r="F116" s="195"/>
      <c r="G116" s="195"/>
      <c r="H116" s="196"/>
      <c r="I116" s="42">
        <f>SUM(I110:I115)</f>
        <v>139.26</v>
      </c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 customHeight="1">
      <c r="A117" s="11" t="s">
        <v>73</v>
      </c>
      <c r="B117" s="263" t="s">
        <v>123</v>
      </c>
      <c r="C117" s="195"/>
      <c r="D117" s="195"/>
      <c r="E117" s="195"/>
      <c r="F117" s="195"/>
      <c r="G117" s="195"/>
      <c r="H117" s="196"/>
      <c r="I117" s="41">
        <f>ROUND(H66*I116,2)</f>
        <v>51.25</v>
      </c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>
      <c r="A118" s="207" t="s">
        <v>58</v>
      </c>
      <c r="B118" s="195"/>
      <c r="C118" s="195"/>
      <c r="D118" s="195"/>
      <c r="E118" s="195"/>
      <c r="F118" s="195"/>
      <c r="G118" s="195"/>
      <c r="H118" s="196"/>
      <c r="I118" s="42">
        <f>SUM(I116:I117)</f>
        <v>190.51</v>
      </c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9" customHeight="1">
      <c r="A119" s="264"/>
      <c r="B119" s="195"/>
      <c r="C119" s="195"/>
      <c r="D119" s="195"/>
      <c r="E119" s="195"/>
      <c r="F119" s="195"/>
      <c r="G119" s="195"/>
      <c r="H119" s="195"/>
      <c r="I119" s="196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>
      <c r="A120" s="249" t="s">
        <v>124</v>
      </c>
      <c r="B120" s="195"/>
      <c r="C120" s="195"/>
      <c r="D120" s="195"/>
      <c r="E120" s="195"/>
      <c r="F120" s="195"/>
      <c r="G120" s="195"/>
      <c r="H120" s="195"/>
      <c r="I120" s="196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>
      <c r="A121" s="94" t="s">
        <v>125</v>
      </c>
      <c r="B121" s="260" t="s">
        <v>126</v>
      </c>
      <c r="C121" s="195"/>
      <c r="D121" s="195"/>
      <c r="E121" s="195"/>
      <c r="F121" s="195"/>
      <c r="G121" s="195"/>
      <c r="H121" s="196"/>
      <c r="I121" s="95" t="s">
        <v>55</v>
      </c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 customHeight="1">
      <c r="A122" s="96" t="s">
        <v>4</v>
      </c>
      <c r="B122" s="253" t="s">
        <v>264</v>
      </c>
      <c r="C122" s="195"/>
      <c r="D122" s="195"/>
      <c r="E122" s="195"/>
      <c r="F122" s="195"/>
      <c r="G122" s="195"/>
      <c r="H122" s="196"/>
      <c r="I122" s="97">
        <f>ROUND(H25*1.3*0.5*1.1428571*30*1.2*1.2,2)*0</f>
        <v>0</v>
      </c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 customHeight="1">
      <c r="A123" s="3" t="s">
        <v>6</v>
      </c>
      <c r="B123" s="233" t="s">
        <v>265</v>
      </c>
      <c r="C123" s="195"/>
      <c r="D123" s="195"/>
      <c r="E123" s="195"/>
      <c r="F123" s="195"/>
      <c r="G123" s="195"/>
      <c r="H123" s="196"/>
      <c r="I123" s="18">
        <f>ROUND(H28*H29*1.3*15,2)*0</f>
        <v>0</v>
      </c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 customHeight="1">
      <c r="A124" s="3"/>
      <c r="B124" s="265" t="s">
        <v>129</v>
      </c>
      <c r="C124" s="195"/>
      <c r="D124" s="195"/>
      <c r="E124" s="195"/>
      <c r="F124" s="195"/>
      <c r="G124" s="195"/>
      <c r="H124" s="196"/>
      <c r="I124" s="18">
        <f>I122+I123</f>
        <v>0</v>
      </c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 customHeight="1">
      <c r="A125" s="96" t="s">
        <v>9</v>
      </c>
      <c r="B125" s="253" t="s">
        <v>266</v>
      </c>
      <c r="C125" s="195"/>
      <c r="D125" s="195"/>
      <c r="E125" s="195"/>
      <c r="F125" s="195"/>
      <c r="G125" s="195"/>
      <c r="H125" s="196"/>
      <c r="I125" s="97">
        <f>ROUND(I124/12,2)+ROUND(I124/3/12,2)</f>
        <v>0</v>
      </c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>
      <c r="A126" s="256" t="s">
        <v>131</v>
      </c>
      <c r="B126" s="195"/>
      <c r="C126" s="195"/>
      <c r="D126" s="195"/>
      <c r="E126" s="195"/>
      <c r="F126" s="195"/>
      <c r="G126" s="195"/>
      <c r="H126" s="196"/>
      <c r="I126" s="97">
        <f>I124+I125</f>
        <v>0</v>
      </c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>
      <c r="A127" s="98" t="s">
        <v>6</v>
      </c>
      <c r="B127" s="253" t="s">
        <v>132</v>
      </c>
      <c r="C127" s="195"/>
      <c r="D127" s="195"/>
      <c r="E127" s="195"/>
      <c r="F127" s="195"/>
      <c r="G127" s="195"/>
      <c r="H127" s="196"/>
      <c r="I127" s="99">
        <f>ROUND(H66*I126,2)</f>
        <v>0</v>
      </c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>
      <c r="A128" s="257" t="s">
        <v>58</v>
      </c>
      <c r="B128" s="195"/>
      <c r="C128" s="195"/>
      <c r="D128" s="195"/>
      <c r="E128" s="195"/>
      <c r="F128" s="195"/>
      <c r="G128" s="195"/>
      <c r="H128" s="196"/>
      <c r="I128" s="100">
        <f>SUM(I126:I127)</f>
        <v>0</v>
      </c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7.5" customHeight="1">
      <c r="A129" s="258"/>
      <c r="B129" s="195"/>
      <c r="C129" s="195"/>
      <c r="D129" s="195"/>
      <c r="E129" s="195"/>
      <c r="F129" s="195"/>
      <c r="G129" s="195"/>
      <c r="H129" s="195"/>
      <c r="I129" s="196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>
      <c r="A130" s="259" t="s">
        <v>133</v>
      </c>
      <c r="B130" s="195"/>
      <c r="C130" s="195"/>
      <c r="D130" s="195"/>
      <c r="E130" s="195"/>
      <c r="F130" s="195"/>
      <c r="G130" s="195"/>
      <c r="H130" s="195"/>
      <c r="I130" s="196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 customHeight="1">
      <c r="A131" s="74">
        <v>4</v>
      </c>
      <c r="B131" s="260" t="s">
        <v>134</v>
      </c>
      <c r="C131" s="195"/>
      <c r="D131" s="195"/>
      <c r="E131" s="195"/>
      <c r="F131" s="195"/>
      <c r="G131" s="195"/>
      <c r="H131" s="196"/>
      <c r="I131" s="95" t="s">
        <v>55</v>
      </c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 customHeight="1">
      <c r="A132" s="9" t="s">
        <v>115</v>
      </c>
      <c r="B132" s="261" t="s">
        <v>116</v>
      </c>
      <c r="C132" s="195"/>
      <c r="D132" s="195"/>
      <c r="E132" s="195"/>
      <c r="F132" s="195"/>
      <c r="G132" s="195"/>
      <c r="H132" s="196"/>
      <c r="I132" s="97">
        <f>I118</f>
        <v>190.51</v>
      </c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 customHeight="1">
      <c r="A133" s="9" t="s">
        <v>135</v>
      </c>
      <c r="B133" s="261" t="s">
        <v>126</v>
      </c>
      <c r="C133" s="195"/>
      <c r="D133" s="195"/>
      <c r="E133" s="195"/>
      <c r="F133" s="195"/>
      <c r="G133" s="195"/>
      <c r="H133" s="196"/>
      <c r="I133" s="97">
        <f>I128</f>
        <v>0</v>
      </c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 customHeight="1">
      <c r="A134" s="262" t="s">
        <v>58</v>
      </c>
      <c r="B134" s="195"/>
      <c r="C134" s="195"/>
      <c r="D134" s="195"/>
      <c r="E134" s="195"/>
      <c r="F134" s="195"/>
      <c r="G134" s="195"/>
      <c r="H134" s="196"/>
      <c r="I134" s="100">
        <f>SUM(I132+I133)</f>
        <v>190.51</v>
      </c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7.5" customHeight="1">
      <c r="A135" s="208"/>
      <c r="B135" s="195"/>
      <c r="C135" s="195"/>
      <c r="D135" s="195"/>
      <c r="E135" s="195"/>
      <c r="F135" s="195"/>
      <c r="G135" s="195"/>
      <c r="H135" s="195"/>
      <c r="I135" s="196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>
      <c r="A136" s="251" t="s">
        <v>136</v>
      </c>
      <c r="B136" s="195"/>
      <c r="C136" s="195"/>
      <c r="D136" s="195"/>
      <c r="E136" s="195"/>
      <c r="F136" s="195"/>
      <c r="G136" s="195"/>
      <c r="H136" s="195"/>
      <c r="I136" s="196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 customHeight="1">
      <c r="A137" s="58">
        <v>3</v>
      </c>
      <c r="B137" s="252" t="s">
        <v>137</v>
      </c>
      <c r="C137" s="195"/>
      <c r="D137" s="195"/>
      <c r="E137" s="195"/>
      <c r="F137" s="195"/>
      <c r="G137" s="195"/>
      <c r="H137" s="196"/>
      <c r="I137" s="58" t="s">
        <v>55</v>
      </c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 customHeight="1">
      <c r="A138" s="96" t="s">
        <v>4</v>
      </c>
      <c r="B138" s="253" t="s">
        <v>138</v>
      </c>
      <c r="C138" s="195"/>
      <c r="D138" s="195"/>
      <c r="E138" s="195"/>
      <c r="F138" s="195"/>
      <c r="G138" s="195"/>
      <c r="H138" s="196"/>
      <c r="I138" s="97">
        <f>'INSUMOS - Gravataí'!G33</f>
        <v>99.81750000000001</v>
      </c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 customHeight="1">
      <c r="A139" s="96" t="s">
        <v>6</v>
      </c>
      <c r="B139" s="253" t="s">
        <v>139</v>
      </c>
      <c r="C139" s="195"/>
      <c r="D139" s="195"/>
      <c r="E139" s="195"/>
      <c r="F139" s="195"/>
      <c r="G139" s="195"/>
      <c r="H139" s="196"/>
      <c r="I139" s="75">
        <f>'INSUMOS - Gravataí'!F30</f>
        <v>7.2379999999999995</v>
      </c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 customHeight="1">
      <c r="A140" s="96" t="s">
        <v>9</v>
      </c>
      <c r="B140" s="253" t="s">
        <v>140</v>
      </c>
      <c r="C140" s="195"/>
      <c r="D140" s="195"/>
      <c r="E140" s="195"/>
      <c r="F140" s="195"/>
      <c r="G140" s="195"/>
      <c r="H140" s="196"/>
      <c r="I140" s="75" t="s">
        <v>141</v>
      </c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>
      <c r="A141" s="207" t="s">
        <v>131</v>
      </c>
      <c r="B141" s="195"/>
      <c r="C141" s="195"/>
      <c r="D141" s="195"/>
      <c r="E141" s="195"/>
      <c r="F141" s="195"/>
      <c r="G141" s="195"/>
      <c r="H141" s="196"/>
      <c r="I141" s="103">
        <f>ROUND(SUM(I138:I140),2)</f>
        <v>107.06</v>
      </c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7.5" customHeight="1">
      <c r="A142" s="254"/>
      <c r="B142" s="195"/>
      <c r="C142" s="195"/>
      <c r="D142" s="195"/>
      <c r="E142" s="195"/>
      <c r="F142" s="195"/>
      <c r="G142" s="195"/>
      <c r="H142" s="195"/>
      <c r="I142" s="196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>
      <c r="A143" s="255" t="s">
        <v>142</v>
      </c>
      <c r="B143" s="195"/>
      <c r="C143" s="195"/>
      <c r="D143" s="195"/>
      <c r="E143" s="195"/>
      <c r="F143" s="195"/>
      <c r="G143" s="195"/>
      <c r="H143" s="195"/>
      <c r="I143" s="196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6.75" customHeight="1">
      <c r="A144" s="105"/>
      <c r="B144" s="106"/>
      <c r="C144" s="106"/>
      <c r="D144" s="106"/>
      <c r="E144" s="106"/>
      <c r="F144" s="106"/>
      <c r="G144" s="106"/>
      <c r="H144" s="106"/>
      <c r="I144" s="107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>
      <c r="A145" s="246" t="s">
        <v>143</v>
      </c>
      <c r="B145" s="195"/>
      <c r="C145" s="195"/>
      <c r="D145" s="195"/>
      <c r="E145" s="195"/>
      <c r="F145" s="195"/>
      <c r="G145" s="195"/>
      <c r="H145" s="195"/>
      <c r="I145" s="196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30" customHeight="1">
      <c r="A146" s="58">
        <v>6</v>
      </c>
      <c r="B146" s="247" t="s">
        <v>144</v>
      </c>
      <c r="C146" s="195"/>
      <c r="D146" s="195"/>
      <c r="E146" s="195"/>
      <c r="F146" s="195"/>
      <c r="G146" s="196"/>
      <c r="H146" s="44" t="s">
        <v>37</v>
      </c>
      <c r="I146" s="108" t="s">
        <v>63</v>
      </c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 customHeight="1">
      <c r="A147" s="248" t="s">
        <v>145</v>
      </c>
      <c r="B147" s="195"/>
      <c r="C147" s="195"/>
      <c r="D147" s="195"/>
      <c r="E147" s="195"/>
      <c r="F147" s="195"/>
      <c r="G147" s="196"/>
      <c r="H147" s="109" t="s">
        <v>83</v>
      </c>
      <c r="I147" s="110">
        <f>SUM(I43+I92+I102+I134+I141)</f>
        <v>2819.4368664685712</v>
      </c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>
      <c r="A148" s="96" t="s">
        <v>4</v>
      </c>
      <c r="B148" s="249" t="s">
        <v>146</v>
      </c>
      <c r="C148" s="195"/>
      <c r="D148" s="195"/>
      <c r="E148" s="195"/>
      <c r="F148" s="195"/>
      <c r="G148" s="196"/>
      <c r="H148" s="111">
        <v>0.06</v>
      </c>
      <c r="I148" s="97">
        <f>ROUND(H148*I147,2)</f>
        <v>169.17</v>
      </c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 customHeight="1">
      <c r="A149" s="248" t="s">
        <v>147</v>
      </c>
      <c r="B149" s="195"/>
      <c r="C149" s="195"/>
      <c r="D149" s="195"/>
      <c r="E149" s="195"/>
      <c r="F149" s="195"/>
      <c r="G149" s="196"/>
      <c r="H149" s="113" t="s">
        <v>83</v>
      </c>
      <c r="I149" s="110">
        <f>SUM(I43+I92+I102+I134+I141+I148)</f>
        <v>2988.6068664685713</v>
      </c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>
      <c r="A150" s="59" t="s">
        <v>6</v>
      </c>
      <c r="B150" s="249" t="s">
        <v>148</v>
      </c>
      <c r="C150" s="195"/>
      <c r="D150" s="195"/>
      <c r="E150" s="195"/>
      <c r="F150" s="195"/>
      <c r="G150" s="196"/>
      <c r="H150" s="111">
        <v>6.7900000000000002E-2</v>
      </c>
      <c r="I150" s="97">
        <f>ROUND(H150*I149,2)</f>
        <v>202.93</v>
      </c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 customHeight="1">
      <c r="A151" s="248" t="s">
        <v>149</v>
      </c>
      <c r="B151" s="195"/>
      <c r="C151" s="195"/>
      <c r="D151" s="195"/>
      <c r="E151" s="195"/>
      <c r="F151" s="195"/>
      <c r="G151" s="196"/>
      <c r="H151" s="113" t="s">
        <v>83</v>
      </c>
      <c r="I151" s="110">
        <f>SUM(I43+I92+I102+I134+I141+I148+I150)</f>
        <v>3191.5368664685711</v>
      </c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6.5" customHeight="1">
      <c r="A152" s="115" t="s">
        <v>9</v>
      </c>
      <c r="B152" s="246" t="s">
        <v>150</v>
      </c>
      <c r="C152" s="195"/>
      <c r="D152" s="195"/>
      <c r="E152" s="195"/>
      <c r="F152" s="195"/>
      <c r="G152" s="196"/>
      <c r="H152" s="116" t="s">
        <v>83</v>
      </c>
      <c r="I152" s="64" t="s">
        <v>83</v>
      </c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 customHeight="1">
      <c r="A153" s="59"/>
      <c r="B153" s="250" t="s">
        <v>151</v>
      </c>
      <c r="C153" s="195"/>
      <c r="D153" s="195"/>
      <c r="E153" s="195"/>
      <c r="F153" s="195"/>
      <c r="G153" s="196"/>
      <c r="H153" s="116" t="s">
        <v>83</v>
      </c>
      <c r="I153" s="64" t="s">
        <v>83</v>
      </c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 customHeight="1">
      <c r="A154" s="60"/>
      <c r="B154" s="232" t="s">
        <v>267</v>
      </c>
      <c r="C154" s="195"/>
      <c r="D154" s="195"/>
      <c r="E154" s="195"/>
      <c r="F154" s="195"/>
      <c r="G154" s="196"/>
      <c r="H154" s="117">
        <v>7.5999999999999998E-2</v>
      </c>
      <c r="I154" s="118">
        <f t="shared" ref="I154:I155" si="1">ROUND(($I$151/(1-$H$163))*H154,2)</f>
        <v>278</v>
      </c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 customHeight="1">
      <c r="A155" s="60"/>
      <c r="B155" s="232" t="s">
        <v>268</v>
      </c>
      <c r="C155" s="195"/>
      <c r="D155" s="195"/>
      <c r="E155" s="195"/>
      <c r="F155" s="195"/>
      <c r="G155" s="196"/>
      <c r="H155" s="117">
        <v>1.6500000000000001E-2</v>
      </c>
      <c r="I155" s="118">
        <f t="shared" si="1"/>
        <v>60.36</v>
      </c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 customHeight="1">
      <c r="A156" s="59"/>
      <c r="B156" s="233" t="s">
        <v>269</v>
      </c>
      <c r="C156" s="195"/>
      <c r="D156" s="195"/>
      <c r="E156" s="195"/>
      <c r="F156" s="195"/>
      <c r="G156" s="196"/>
      <c r="H156" s="120" t="s">
        <v>83</v>
      </c>
      <c r="I156" s="64" t="s">
        <v>83</v>
      </c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 customHeight="1">
      <c r="A157" s="59"/>
      <c r="B157" s="233" t="s">
        <v>155</v>
      </c>
      <c r="C157" s="195"/>
      <c r="D157" s="195"/>
      <c r="E157" s="195"/>
      <c r="F157" s="195"/>
      <c r="G157" s="196"/>
      <c r="H157" s="120" t="s">
        <v>83</v>
      </c>
      <c r="I157" s="64" t="s">
        <v>83</v>
      </c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 customHeight="1">
      <c r="A158" s="59"/>
      <c r="B158" s="233" t="s">
        <v>156</v>
      </c>
      <c r="C158" s="195"/>
      <c r="D158" s="195"/>
      <c r="E158" s="195"/>
      <c r="F158" s="195"/>
      <c r="G158" s="195"/>
      <c r="H158" s="120" t="s">
        <v>83</v>
      </c>
      <c r="I158" s="64" t="s">
        <v>83</v>
      </c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 customHeight="1">
      <c r="A159" s="59"/>
      <c r="B159" s="233" t="s">
        <v>157</v>
      </c>
      <c r="C159" s="195"/>
      <c r="D159" s="195"/>
      <c r="E159" s="195"/>
      <c r="F159" s="195"/>
      <c r="G159" s="195"/>
      <c r="H159" s="120" t="s">
        <v>83</v>
      </c>
      <c r="I159" s="64" t="s">
        <v>83</v>
      </c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 customHeight="1">
      <c r="A160" s="60"/>
      <c r="B160" s="234" t="s">
        <v>230</v>
      </c>
      <c r="C160" s="195"/>
      <c r="D160" s="195"/>
      <c r="E160" s="195"/>
      <c r="F160" s="195"/>
      <c r="G160" s="196"/>
      <c r="H160" s="117">
        <v>3.5000000000000003E-2</v>
      </c>
      <c r="I160" s="118">
        <f>ROUND(($I$151/(1-$H$163))*H160,2)</f>
        <v>128.03</v>
      </c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>
      <c r="A161" s="207" t="s">
        <v>110</v>
      </c>
      <c r="B161" s="195"/>
      <c r="C161" s="195"/>
      <c r="D161" s="195"/>
      <c r="E161" s="195"/>
      <c r="F161" s="195"/>
      <c r="G161" s="195"/>
      <c r="H161" s="196"/>
      <c r="I161" s="42">
        <f>SUM(I148+I150+I154+I155+I160)</f>
        <v>838.49</v>
      </c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6.75" customHeight="1">
      <c r="A162" s="208"/>
      <c r="B162" s="195"/>
      <c r="C162" s="195"/>
      <c r="D162" s="195"/>
      <c r="E162" s="195"/>
      <c r="F162" s="195"/>
      <c r="G162" s="195"/>
      <c r="H162" s="195"/>
      <c r="I162" s="196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>
      <c r="A163" s="209" t="s">
        <v>159</v>
      </c>
      <c r="B163" s="195"/>
      <c r="C163" s="195"/>
      <c r="D163" s="195"/>
      <c r="E163" s="195"/>
      <c r="F163" s="195"/>
      <c r="G163" s="196"/>
      <c r="H163" s="122">
        <f t="shared" ref="H163:I163" si="2">SUM(H154:H160)</f>
        <v>0.1275</v>
      </c>
      <c r="I163" s="110">
        <f t="shared" si="2"/>
        <v>466.39</v>
      </c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 customHeight="1">
      <c r="A164" s="210" t="s">
        <v>160</v>
      </c>
      <c r="B164" s="189"/>
      <c r="C164" s="212" t="s">
        <v>161</v>
      </c>
      <c r="D164" s="189"/>
      <c r="E164" s="189"/>
      <c r="F164" s="189"/>
      <c r="G164" s="189"/>
      <c r="H164" s="189"/>
      <c r="I164" s="189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" customHeight="1">
      <c r="A165" s="211"/>
      <c r="B165" s="189"/>
      <c r="C165" s="213" t="s">
        <v>162</v>
      </c>
      <c r="D165" s="189"/>
      <c r="E165" s="189"/>
      <c r="F165" s="189"/>
      <c r="G165" s="189"/>
      <c r="H165" s="189"/>
      <c r="I165" s="189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" customHeight="1">
      <c r="A166" s="191"/>
      <c r="B166" s="192"/>
      <c r="C166" s="214" t="s">
        <v>163</v>
      </c>
      <c r="D166" s="192"/>
      <c r="E166" s="192"/>
      <c r="F166" s="192"/>
      <c r="G166" s="192"/>
      <c r="H166" s="192"/>
      <c r="I166" s="192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6.75" customHeight="1">
      <c r="A167" s="215"/>
      <c r="B167" s="195"/>
      <c r="C167" s="195"/>
      <c r="D167" s="195"/>
      <c r="E167" s="195"/>
      <c r="F167" s="195"/>
      <c r="G167" s="195"/>
      <c r="H167" s="195"/>
      <c r="I167" s="216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24" customHeight="1">
      <c r="A168" s="217" t="s">
        <v>164</v>
      </c>
      <c r="B168" s="195"/>
      <c r="C168" s="195"/>
      <c r="D168" s="195"/>
      <c r="E168" s="195"/>
      <c r="F168" s="195"/>
      <c r="G168" s="195"/>
      <c r="H168" s="195"/>
      <c r="I168" s="196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5.25" customHeight="1">
      <c r="A169" s="208"/>
      <c r="B169" s="195"/>
      <c r="C169" s="195"/>
      <c r="D169" s="195"/>
      <c r="E169" s="195"/>
      <c r="F169" s="195"/>
      <c r="G169" s="195"/>
      <c r="H169" s="195"/>
      <c r="I169" s="196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>
      <c r="A170" s="218" t="s">
        <v>165</v>
      </c>
      <c r="B170" s="195"/>
      <c r="C170" s="195"/>
      <c r="D170" s="195"/>
      <c r="E170" s="195"/>
      <c r="F170" s="195"/>
      <c r="G170" s="195"/>
      <c r="H170" s="195"/>
      <c r="I170" s="196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 customHeight="1">
      <c r="A171" s="219" t="s">
        <v>166</v>
      </c>
      <c r="B171" s="195"/>
      <c r="C171" s="195"/>
      <c r="D171" s="195"/>
      <c r="E171" s="195"/>
      <c r="F171" s="195"/>
      <c r="G171" s="195"/>
      <c r="H171" s="196"/>
      <c r="I171" s="44" t="s">
        <v>55</v>
      </c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 customHeight="1">
      <c r="A172" s="123" t="s">
        <v>4</v>
      </c>
      <c r="B172" s="220" t="s">
        <v>167</v>
      </c>
      <c r="C172" s="195"/>
      <c r="D172" s="195"/>
      <c r="E172" s="195"/>
      <c r="F172" s="195"/>
      <c r="G172" s="195"/>
      <c r="H172" s="195"/>
      <c r="I172" s="124">
        <f>I43</f>
        <v>1242.6149714285714</v>
      </c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 customHeight="1">
      <c r="A173" s="123" t="s">
        <v>6</v>
      </c>
      <c r="B173" s="220" t="s">
        <v>168</v>
      </c>
      <c r="C173" s="195"/>
      <c r="D173" s="195"/>
      <c r="E173" s="195"/>
      <c r="F173" s="195"/>
      <c r="G173" s="195"/>
      <c r="H173" s="195"/>
      <c r="I173" s="124">
        <f>I92</f>
        <v>1202.4300000000003</v>
      </c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 customHeight="1">
      <c r="A174" s="123" t="s">
        <v>9</v>
      </c>
      <c r="B174" s="220" t="s">
        <v>169</v>
      </c>
      <c r="C174" s="195"/>
      <c r="D174" s="195"/>
      <c r="E174" s="195"/>
      <c r="F174" s="195"/>
      <c r="G174" s="195"/>
      <c r="H174" s="195"/>
      <c r="I174" s="124">
        <f>I102</f>
        <v>76.821895040000001</v>
      </c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 customHeight="1">
      <c r="A175" s="123" t="s">
        <v>11</v>
      </c>
      <c r="B175" s="220" t="s">
        <v>170</v>
      </c>
      <c r="C175" s="195"/>
      <c r="D175" s="195"/>
      <c r="E175" s="195"/>
      <c r="F175" s="195"/>
      <c r="G175" s="195"/>
      <c r="H175" s="195"/>
      <c r="I175" s="124">
        <f>I134</f>
        <v>190.51</v>
      </c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 customHeight="1">
      <c r="A176" s="123" t="s">
        <v>43</v>
      </c>
      <c r="B176" s="220" t="s">
        <v>171</v>
      </c>
      <c r="C176" s="195"/>
      <c r="D176" s="195"/>
      <c r="E176" s="195"/>
      <c r="F176" s="195"/>
      <c r="G176" s="195"/>
      <c r="H176" s="195"/>
      <c r="I176" s="124">
        <f>I141</f>
        <v>107.06</v>
      </c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 customHeight="1">
      <c r="A177" s="221" t="s">
        <v>172</v>
      </c>
      <c r="B177" s="195"/>
      <c r="C177" s="195"/>
      <c r="D177" s="195"/>
      <c r="E177" s="195"/>
      <c r="F177" s="195"/>
      <c r="G177" s="195"/>
      <c r="H177" s="216"/>
      <c r="I177" s="124">
        <f>SUM(I172:I176)</f>
        <v>2819.4368664685712</v>
      </c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 customHeight="1">
      <c r="A178" s="125" t="s">
        <v>71</v>
      </c>
      <c r="B178" s="220" t="s">
        <v>143</v>
      </c>
      <c r="C178" s="195"/>
      <c r="D178" s="195"/>
      <c r="E178" s="195"/>
      <c r="F178" s="195"/>
      <c r="G178" s="195"/>
      <c r="H178" s="195"/>
      <c r="I178" s="103">
        <f>I161</f>
        <v>838.49</v>
      </c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 customHeight="1">
      <c r="A179" s="221" t="s">
        <v>173</v>
      </c>
      <c r="B179" s="195"/>
      <c r="C179" s="195"/>
      <c r="D179" s="195"/>
      <c r="E179" s="195"/>
      <c r="F179" s="195"/>
      <c r="G179" s="195"/>
      <c r="H179" s="216"/>
      <c r="I179" s="124">
        <f>I177+I178</f>
        <v>3657.9268664685715</v>
      </c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7.5" customHeight="1">
      <c r="A180" s="222"/>
      <c r="B180" s="195"/>
      <c r="C180" s="195"/>
      <c r="D180" s="195"/>
      <c r="E180" s="195"/>
      <c r="F180" s="195"/>
      <c r="G180" s="195"/>
      <c r="H180" s="195"/>
      <c r="I180" s="196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 hidden="1" customHeight="1">
      <c r="A181" s="126"/>
      <c r="B181" s="126"/>
      <c r="C181" s="126"/>
      <c r="D181" s="126"/>
      <c r="E181" s="126"/>
      <c r="F181" s="126"/>
      <c r="G181" s="126"/>
      <c r="H181" s="127"/>
      <c r="I181" s="128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31.5" customHeight="1">
      <c r="A182" s="241" t="s">
        <v>174</v>
      </c>
      <c r="B182" s="189"/>
      <c r="C182" s="189"/>
      <c r="D182" s="189"/>
      <c r="E182" s="189"/>
      <c r="F182" s="189"/>
      <c r="G182" s="189"/>
      <c r="H182" s="189"/>
      <c r="I182" s="189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25.5" customHeight="1">
      <c r="A183" s="242" t="s">
        <v>175</v>
      </c>
      <c r="B183" s="195"/>
      <c r="C183" s="195"/>
      <c r="D183" s="196"/>
      <c r="E183" s="242" t="s">
        <v>176</v>
      </c>
      <c r="F183" s="196"/>
      <c r="G183" s="44" t="s">
        <v>177</v>
      </c>
      <c r="H183" s="242" t="s">
        <v>178</v>
      </c>
      <c r="I183" s="196"/>
    </row>
    <row r="184" spans="1:18" ht="12.75" customHeight="1">
      <c r="A184" s="243" t="s">
        <v>179</v>
      </c>
      <c r="B184" s="195"/>
      <c r="C184" s="195"/>
      <c r="D184" s="196"/>
      <c r="E184" s="244">
        <f>I179</f>
        <v>3657.9268664685715</v>
      </c>
      <c r="F184" s="196"/>
      <c r="G184" s="131">
        <f>H14</f>
        <v>1</v>
      </c>
      <c r="H184" s="239">
        <f>E184*G184</f>
        <v>3657.9268664685715</v>
      </c>
      <c r="I184" s="196"/>
    </row>
    <row r="185" spans="1:18" ht="15.75" customHeight="1">
      <c r="A185" s="245" t="s">
        <v>180</v>
      </c>
      <c r="B185" s="195"/>
      <c r="C185" s="195"/>
      <c r="D185" s="195"/>
      <c r="E185" s="195"/>
      <c r="F185" s="196"/>
      <c r="G185" s="132">
        <f>SUM(G184)</f>
        <v>1</v>
      </c>
      <c r="H185" s="240">
        <f>SUM(H184:I184)</f>
        <v>3657.9268664685715</v>
      </c>
      <c r="I185" s="196"/>
    </row>
    <row r="186" spans="1:18" ht="6.75" customHeight="1">
      <c r="A186" s="235"/>
      <c r="B186" s="236"/>
      <c r="C186" s="236"/>
      <c r="D186" s="236"/>
      <c r="E186" s="236"/>
      <c r="F186" s="236"/>
      <c r="G186" s="236"/>
      <c r="H186" s="236"/>
      <c r="I186" s="237"/>
    </row>
    <row r="187" spans="1:18" ht="17.25" customHeight="1">
      <c r="A187" s="238" t="s">
        <v>181</v>
      </c>
      <c r="B187" s="192"/>
      <c r="C187" s="192"/>
      <c r="D187" s="192"/>
      <c r="E187" s="192"/>
      <c r="F187" s="192"/>
      <c r="G187" s="192"/>
      <c r="H187" s="192"/>
      <c r="I187" s="192"/>
    </row>
    <row r="188" spans="1:18" ht="6.75" customHeight="1">
      <c r="A188" s="223"/>
      <c r="B188" s="195"/>
      <c r="C188" s="195"/>
      <c r="D188" s="195"/>
      <c r="E188" s="195"/>
      <c r="F188" s="195"/>
      <c r="G188" s="195"/>
      <c r="H188" s="195"/>
      <c r="I188" s="196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>
      <c r="A189" s="224" t="s">
        <v>182</v>
      </c>
      <c r="B189" s="195"/>
      <c r="C189" s="195"/>
      <c r="D189" s="195"/>
      <c r="E189" s="195"/>
      <c r="F189" s="196"/>
      <c r="G189" s="225">
        <f>$H$185</f>
        <v>3657.9268664685715</v>
      </c>
      <c r="H189" s="195"/>
      <c r="I189" s="196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8.25" customHeight="1">
      <c r="A190" s="226"/>
      <c r="B190" s="227"/>
      <c r="C190" s="227"/>
      <c r="D190" s="227"/>
      <c r="E190" s="227"/>
      <c r="F190" s="227"/>
      <c r="G190" s="227"/>
      <c r="H190" s="227"/>
      <c r="I190" s="228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>
      <c r="A191" s="224" t="s">
        <v>183</v>
      </c>
      <c r="B191" s="195"/>
      <c r="C191" s="195"/>
      <c r="D191" s="195"/>
      <c r="E191" s="195"/>
      <c r="F191" s="196"/>
      <c r="G191" s="229">
        <f>$H$11</f>
        <v>20</v>
      </c>
      <c r="H191" s="195"/>
      <c r="I191" s="196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8.25" customHeight="1">
      <c r="A192" s="230"/>
      <c r="B192" s="195"/>
      <c r="C192" s="195"/>
      <c r="D192" s="195"/>
      <c r="E192" s="195"/>
      <c r="F192" s="195"/>
      <c r="G192" s="195"/>
      <c r="H192" s="195"/>
      <c r="I192" s="216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>
      <c r="A193" s="224" t="s">
        <v>270</v>
      </c>
      <c r="B193" s="195"/>
      <c r="C193" s="195"/>
      <c r="D193" s="195"/>
      <c r="E193" s="195"/>
      <c r="F193" s="196"/>
      <c r="G193" s="231">
        <f>ROUND(G189*G191,2)</f>
        <v>73158.539999999994</v>
      </c>
      <c r="H193" s="195"/>
      <c r="I193" s="196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8.25" customHeight="1">
      <c r="A194" s="205"/>
      <c r="B194" s="195"/>
      <c r="C194" s="195"/>
      <c r="D194" s="195"/>
      <c r="E194" s="195"/>
      <c r="F194" s="195"/>
      <c r="G194" s="195"/>
      <c r="H194" s="195"/>
      <c r="I194" s="196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 customHeight="1">
      <c r="A195" s="204" t="s">
        <v>271</v>
      </c>
      <c r="B195" s="195"/>
      <c r="C195" s="195"/>
      <c r="D195" s="195"/>
      <c r="E195" s="195"/>
      <c r="F195" s="195"/>
      <c r="G195" s="195"/>
      <c r="H195" s="195"/>
      <c r="I195" s="196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" customHeight="1">
      <c r="A196" s="188" t="s">
        <v>186</v>
      </c>
      <c r="B196" s="189"/>
      <c r="C196" s="190"/>
      <c r="D196" s="206" t="s">
        <v>187</v>
      </c>
      <c r="E196" s="202"/>
      <c r="F196" s="202"/>
      <c r="G196" s="202"/>
      <c r="H196" s="202"/>
      <c r="I196" s="203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" customHeight="1">
      <c r="A197" s="191"/>
      <c r="B197" s="192"/>
      <c r="C197" s="193"/>
      <c r="D197" s="191"/>
      <c r="E197" s="192"/>
      <c r="F197" s="192"/>
      <c r="G197" s="192"/>
      <c r="H197" s="192"/>
      <c r="I197" s="193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4.25" customHeight="1">
      <c r="A198" s="194" t="s">
        <v>188</v>
      </c>
      <c r="B198" s="195"/>
      <c r="C198" s="196"/>
      <c r="D198" s="200">
        <v>1</v>
      </c>
      <c r="E198" s="195"/>
      <c r="F198" s="195"/>
      <c r="G198" s="195"/>
      <c r="H198" s="195"/>
      <c r="I198" s="196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 customHeight="1">
      <c r="A199" s="194"/>
      <c r="B199" s="195"/>
      <c r="C199" s="196"/>
      <c r="D199" s="200"/>
      <c r="E199" s="195"/>
      <c r="F199" s="195"/>
      <c r="G199" s="195"/>
      <c r="H199" s="195"/>
      <c r="I199" s="196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 customHeight="1">
      <c r="A200" s="197"/>
      <c r="B200" s="195"/>
      <c r="C200" s="196"/>
      <c r="D200" s="200"/>
      <c r="E200" s="195"/>
      <c r="F200" s="195"/>
      <c r="G200" s="195"/>
      <c r="H200" s="195"/>
      <c r="I200" s="196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 customHeight="1">
      <c r="A201" s="201"/>
      <c r="B201" s="202"/>
      <c r="C201" s="202"/>
      <c r="D201" s="202"/>
      <c r="E201" s="202"/>
      <c r="F201" s="202"/>
      <c r="G201" s="202"/>
      <c r="H201" s="202"/>
      <c r="I201" s="203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" hidden="1" customHeight="1">
      <c r="A202" s="191"/>
      <c r="B202" s="192"/>
      <c r="C202" s="192"/>
      <c r="D202" s="192"/>
      <c r="E202" s="192"/>
      <c r="F202" s="192"/>
      <c r="G202" s="192"/>
      <c r="H202" s="192"/>
      <c r="I202" s="193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 customHeight="1">
      <c r="A203" s="204" t="s">
        <v>272</v>
      </c>
      <c r="B203" s="195"/>
      <c r="C203" s="195"/>
      <c r="D203" s="195"/>
      <c r="E203" s="195"/>
      <c r="F203" s="195"/>
      <c r="G203" s="195"/>
      <c r="H203" s="195"/>
      <c r="I203" s="195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 customHeight="1">
      <c r="A204" s="199" t="s">
        <v>190</v>
      </c>
      <c r="B204" s="195"/>
      <c r="C204" s="195"/>
      <c r="D204" s="195"/>
      <c r="E204" s="195"/>
      <c r="F204" s="195"/>
      <c r="G204" s="196"/>
      <c r="H204" s="199" t="s">
        <v>191</v>
      </c>
      <c r="I204" s="196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 customHeight="1">
      <c r="A205" s="198" t="s">
        <v>192</v>
      </c>
      <c r="B205" s="195"/>
      <c r="C205" s="195"/>
      <c r="D205" s="195"/>
      <c r="E205" s="195"/>
      <c r="F205" s="195"/>
      <c r="G205" s="196"/>
      <c r="H205" s="199"/>
      <c r="I205" s="196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 customHeight="1">
      <c r="A206" s="194"/>
      <c r="B206" s="195"/>
      <c r="C206" s="195"/>
      <c r="D206" s="195"/>
      <c r="E206" s="195"/>
      <c r="F206" s="195"/>
      <c r="G206" s="196"/>
      <c r="H206" s="199"/>
      <c r="I206" s="196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 customHeight="1">
      <c r="A207" s="197"/>
      <c r="B207" s="195"/>
      <c r="C207" s="195"/>
      <c r="D207" s="195"/>
      <c r="E207" s="195"/>
      <c r="F207" s="195"/>
      <c r="G207" s="196"/>
      <c r="H207" s="199"/>
      <c r="I207" s="196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" customHeight="1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" customHeight="1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" customHeight="1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" customHeight="1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" customHeight="1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" customHeight="1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" customHeight="1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" customHeight="1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" customHeight="1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 customHeight="1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" customHeight="1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" customHeight="1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" customHeight="1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" customHeight="1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" customHeight="1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" customHeight="1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" customHeight="1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" customHeight="1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" customHeight="1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" customHeight="1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" customHeight="1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" customHeight="1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" customHeight="1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" customHeight="1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" customHeight="1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" customHeight="1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" customHeight="1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" customHeight="1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" customHeight="1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" customHeight="1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" customHeight="1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" customHeight="1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" customHeight="1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" customHeight="1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" customHeight="1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" customHeight="1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" customHeight="1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" customHeight="1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" customHeight="1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" customHeight="1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" customHeight="1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" customHeight="1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" customHeight="1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" customHeight="1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" customHeight="1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" customHeight="1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" customHeight="1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" customHeight="1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" customHeight="1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" customHeight="1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" customHeight="1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" customHeight="1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" customHeight="1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" customHeight="1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" customHeight="1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" customHeight="1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" customHeight="1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" customHeight="1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" customHeight="1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" customHeight="1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" customHeight="1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" customHeight="1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" customHeight="1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" customHeight="1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" customHeight="1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" customHeight="1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" customHeight="1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" customHeight="1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" customHeight="1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" customHeight="1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" customHeight="1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" customHeight="1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" customHeight="1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" customHeight="1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" customHeight="1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" customHeight="1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" customHeight="1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" customHeight="1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" customHeight="1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" customHeight="1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" customHeight="1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" customHeight="1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" customHeight="1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" customHeight="1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" customHeight="1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" customHeight="1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" customHeight="1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" customHeight="1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" customHeight="1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" customHeight="1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" customHeight="1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" customHeight="1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" customHeight="1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" customHeight="1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" customHeight="1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" customHeight="1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" customHeight="1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" customHeight="1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" customHeight="1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" customHeight="1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" customHeight="1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" customHeight="1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" customHeight="1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" customHeight="1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" customHeight="1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" customHeight="1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" customHeight="1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" customHeight="1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" customHeight="1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" customHeight="1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" customHeight="1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" customHeight="1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" customHeight="1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" customHeight="1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" customHeight="1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" customHeight="1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" customHeight="1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" customHeight="1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" customHeight="1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" customHeight="1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" customHeight="1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" customHeight="1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" customHeight="1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" customHeight="1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" customHeight="1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" customHeight="1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" customHeight="1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" customHeight="1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" customHeight="1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" customHeight="1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" customHeight="1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" customHeight="1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" customHeight="1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" customHeight="1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" customHeight="1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" customHeight="1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" customHeight="1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" customHeight="1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" customHeight="1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" customHeight="1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" customHeight="1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" customHeight="1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" customHeight="1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" customHeight="1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" customHeight="1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" customHeight="1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" customHeight="1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" customHeight="1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" customHeight="1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" customHeight="1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" customHeight="1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" customHeight="1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" customHeight="1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" customHeight="1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" customHeight="1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" customHeight="1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" customHeight="1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" customHeight="1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" customHeight="1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" customHeight="1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" customHeight="1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" customHeight="1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" customHeight="1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" customHeight="1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" customHeight="1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" customHeight="1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" customHeight="1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" customHeight="1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" customHeight="1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" customHeight="1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" customHeight="1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" customHeight="1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" customHeight="1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" customHeight="1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" customHeight="1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" customHeight="1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" customHeight="1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" customHeight="1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" customHeight="1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" customHeight="1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" customHeight="1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" customHeight="1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" customHeight="1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" customHeight="1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" customHeight="1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" customHeight="1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" customHeight="1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" customHeight="1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" customHeight="1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" customHeight="1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" customHeight="1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" customHeight="1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" customHeight="1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" customHeight="1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" customHeight="1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" customHeight="1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" customHeight="1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" customHeight="1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 customHeight="1"/>
    <row r="407" spans="1:18" ht="12.75" customHeight="1"/>
    <row r="408" spans="1:18" ht="12.75" customHeight="1"/>
    <row r="409" spans="1:18" ht="12.75" customHeight="1"/>
    <row r="410" spans="1:18" ht="12.75" customHeight="1"/>
    <row r="411" spans="1:18" ht="12.75" customHeight="1"/>
    <row r="412" spans="1:18" ht="12.75" customHeight="1"/>
    <row r="413" spans="1:18" ht="12.75" customHeight="1"/>
    <row r="414" spans="1:18" ht="12.75" customHeight="1"/>
    <row r="415" spans="1:18" ht="12.75" customHeight="1"/>
    <row r="416" spans="1:18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40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F14:G14"/>
    <mergeCell ref="H14:I14"/>
    <mergeCell ref="B11:G11"/>
    <mergeCell ref="H11:I11"/>
    <mergeCell ref="A12:I12"/>
    <mergeCell ref="A13:E13"/>
    <mergeCell ref="F13:G13"/>
    <mergeCell ref="H13:I13"/>
    <mergeCell ref="A14:E14"/>
    <mergeCell ref="A15:G15"/>
    <mergeCell ref="H15:I15"/>
    <mergeCell ref="A16:I16"/>
    <mergeCell ref="A17:I17"/>
    <mergeCell ref="A18:I18"/>
    <mergeCell ref="A19:I19"/>
    <mergeCell ref="J19:Q19"/>
    <mergeCell ref="B20:G20"/>
    <mergeCell ref="H20:I20"/>
    <mergeCell ref="B21:G21"/>
    <mergeCell ref="H21:I21"/>
    <mergeCell ref="B22:G22"/>
    <mergeCell ref="H22:I22"/>
    <mergeCell ref="H23:I23"/>
    <mergeCell ref="B23:G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A30:I30"/>
    <mergeCell ref="A31:I31"/>
    <mergeCell ref="B32:G32"/>
    <mergeCell ref="B33:H33"/>
    <mergeCell ref="B34:H34"/>
    <mergeCell ref="B35:H35"/>
    <mergeCell ref="B36:H36"/>
    <mergeCell ref="B37:H37"/>
    <mergeCell ref="A38:H38"/>
    <mergeCell ref="A39:I39"/>
    <mergeCell ref="B40:H40"/>
    <mergeCell ref="A41:H41"/>
    <mergeCell ref="A42:I42"/>
    <mergeCell ref="A43:H43"/>
    <mergeCell ref="A44:I44"/>
    <mergeCell ref="A45:I45"/>
    <mergeCell ref="A46:I46"/>
    <mergeCell ref="A47:I47"/>
    <mergeCell ref="A48:I48"/>
    <mergeCell ref="B49:H49"/>
    <mergeCell ref="B50:G50"/>
    <mergeCell ref="B51:G51"/>
    <mergeCell ref="A52:H52"/>
    <mergeCell ref="B53:H53"/>
    <mergeCell ref="A54:H54"/>
    <mergeCell ref="A55:I55"/>
    <mergeCell ref="A56:I56"/>
    <mergeCell ref="B57:G57"/>
    <mergeCell ref="B58:G58"/>
    <mergeCell ref="B59:G59"/>
    <mergeCell ref="B60:C60"/>
    <mergeCell ref="B61:G61"/>
    <mergeCell ref="B62:G62"/>
    <mergeCell ref="B63:G63"/>
    <mergeCell ref="B64:G64"/>
    <mergeCell ref="B65:G65"/>
    <mergeCell ref="A66:G66"/>
    <mergeCell ref="A68:I68"/>
    <mergeCell ref="A69:I69"/>
    <mergeCell ref="A70:I70"/>
    <mergeCell ref="B71:H71"/>
    <mergeCell ref="B72:H72"/>
    <mergeCell ref="B73:G73"/>
    <mergeCell ref="B74:G74"/>
    <mergeCell ref="B75:G75"/>
    <mergeCell ref="B76:G76"/>
    <mergeCell ref="B77:H77"/>
    <mergeCell ref="B78:G78"/>
    <mergeCell ref="B79:G79"/>
    <mergeCell ref="B80:G80"/>
    <mergeCell ref="B81:H81"/>
    <mergeCell ref="B82:H82"/>
    <mergeCell ref="B83:H83"/>
    <mergeCell ref="B84:H84"/>
    <mergeCell ref="B85:H85"/>
    <mergeCell ref="A86:I86"/>
    <mergeCell ref="A87:I87"/>
    <mergeCell ref="B88:H88"/>
    <mergeCell ref="B89:H89"/>
    <mergeCell ref="B90:H90"/>
    <mergeCell ref="B91:H91"/>
    <mergeCell ref="A92:H92"/>
    <mergeCell ref="A93:I93"/>
    <mergeCell ref="A94:I94"/>
    <mergeCell ref="B95:H95"/>
    <mergeCell ref="B96:H96"/>
    <mergeCell ref="B97:H97"/>
    <mergeCell ref="B98:H98"/>
    <mergeCell ref="B99:H99"/>
    <mergeCell ref="B100:H100"/>
    <mergeCell ref="B101:G101"/>
    <mergeCell ref="A102:H102"/>
    <mergeCell ref="A103:I103"/>
    <mergeCell ref="A104:I104"/>
    <mergeCell ref="A105:I105"/>
    <mergeCell ref="A106:H106"/>
    <mergeCell ref="A107:I107"/>
    <mergeCell ref="A108:I108"/>
    <mergeCell ref="B109:H109"/>
    <mergeCell ref="B110:G110"/>
    <mergeCell ref="B111:H111"/>
    <mergeCell ref="B112:H112"/>
    <mergeCell ref="A136:I136"/>
    <mergeCell ref="B137:H137"/>
    <mergeCell ref="B113:H113"/>
    <mergeCell ref="B114:H114"/>
    <mergeCell ref="B115:H115"/>
    <mergeCell ref="A116:H116"/>
    <mergeCell ref="B117:H117"/>
    <mergeCell ref="A118:H118"/>
    <mergeCell ref="A119:I119"/>
    <mergeCell ref="A120:I120"/>
    <mergeCell ref="B121:H121"/>
    <mergeCell ref="A179:H179"/>
    <mergeCell ref="A180:I180"/>
    <mergeCell ref="B122:H122"/>
    <mergeCell ref="B159:G159"/>
    <mergeCell ref="B160:G160"/>
    <mergeCell ref="A161:H161"/>
    <mergeCell ref="A162:I162"/>
    <mergeCell ref="A163:G163"/>
    <mergeCell ref="A164:B166"/>
    <mergeCell ref="C164:I164"/>
    <mergeCell ref="A167:I167"/>
    <mergeCell ref="B123:H123"/>
    <mergeCell ref="B124:H124"/>
    <mergeCell ref="B125:H125"/>
    <mergeCell ref="A126:H126"/>
    <mergeCell ref="B127:H127"/>
    <mergeCell ref="A128:H128"/>
    <mergeCell ref="A129:I129"/>
    <mergeCell ref="A130:I130"/>
    <mergeCell ref="B131:H131"/>
    <mergeCell ref="B132:H132"/>
    <mergeCell ref="B133:H133"/>
    <mergeCell ref="A134:H134"/>
    <mergeCell ref="A135:I135"/>
    <mergeCell ref="H184:I184"/>
    <mergeCell ref="H185:I185"/>
    <mergeCell ref="A182:I182"/>
    <mergeCell ref="A183:D183"/>
    <mergeCell ref="E183:F183"/>
    <mergeCell ref="H183:I183"/>
    <mergeCell ref="A184:D184"/>
    <mergeCell ref="E184:F184"/>
    <mergeCell ref="A185:F185"/>
    <mergeCell ref="A191:F191"/>
    <mergeCell ref="A192:I192"/>
    <mergeCell ref="A193:F193"/>
    <mergeCell ref="G193:I193"/>
    <mergeCell ref="A194:I194"/>
    <mergeCell ref="A195:I195"/>
    <mergeCell ref="D196:I197"/>
    <mergeCell ref="A186:I186"/>
    <mergeCell ref="A187:I187"/>
    <mergeCell ref="A188:I188"/>
    <mergeCell ref="A189:F189"/>
    <mergeCell ref="G189:I189"/>
    <mergeCell ref="A190:I190"/>
    <mergeCell ref="G191:I191"/>
    <mergeCell ref="A196:C197"/>
    <mergeCell ref="A205:G205"/>
    <mergeCell ref="H205:I205"/>
    <mergeCell ref="A206:G206"/>
    <mergeCell ref="H206:I206"/>
    <mergeCell ref="A207:G207"/>
    <mergeCell ref="H207:I207"/>
    <mergeCell ref="D198:I198"/>
    <mergeCell ref="D199:I199"/>
    <mergeCell ref="D200:I200"/>
    <mergeCell ref="A201:I202"/>
    <mergeCell ref="A203:I203"/>
    <mergeCell ref="A204:G204"/>
    <mergeCell ref="H204:I204"/>
    <mergeCell ref="A199:C199"/>
    <mergeCell ref="A200:C200"/>
    <mergeCell ref="A198:C198"/>
    <mergeCell ref="B138:H138"/>
    <mergeCell ref="B139:H139"/>
    <mergeCell ref="B140:H140"/>
    <mergeCell ref="A141:H141"/>
    <mergeCell ref="A142:I142"/>
    <mergeCell ref="A143:I143"/>
    <mergeCell ref="A145:I145"/>
    <mergeCell ref="B146:G146"/>
    <mergeCell ref="A147:G147"/>
    <mergeCell ref="B148:G148"/>
    <mergeCell ref="A149:G149"/>
    <mergeCell ref="B150:G150"/>
    <mergeCell ref="A151:G151"/>
    <mergeCell ref="B152:G152"/>
    <mergeCell ref="B153:G153"/>
    <mergeCell ref="B154:G154"/>
    <mergeCell ref="B155:G155"/>
    <mergeCell ref="B156:G156"/>
    <mergeCell ref="B157:G157"/>
    <mergeCell ref="B158:G158"/>
    <mergeCell ref="C165:I165"/>
    <mergeCell ref="C166:I166"/>
    <mergeCell ref="B174:H174"/>
    <mergeCell ref="B175:H175"/>
    <mergeCell ref="B176:H176"/>
    <mergeCell ref="A177:H177"/>
    <mergeCell ref="B178:H178"/>
    <mergeCell ref="A168:I168"/>
    <mergeCell ref="A169:I169"/>
    <mergeCell ref="A170:I170"/>
    <mergeCell ref="A171:H171"/>
    <mergeCell ref="B172:H172"/>
    <mergeCell ref="B173:H173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5" customWidth="1"/>
    <col min="2" max="2" width="10.140625" customWidth="1"/>
    <col min="3" max="3" width="13.42578125" customWidth="1"/>
    <col min="4" max="4" width="12.42578125" customWidth="1"/>
    <col min="5" max="5" width="11.42578125" customWidth="1"/>
    <col min="6" max="6" width="9.42578125" customWidth="1"/>
    <col min="7" max="7" width="16.5703125" customWidth="1"/>
    <col min="8" max="8" width="13" customWidth="1"/>
    <col min="9" max="26" width="8" customWidth="1"/>
  </cols>
  <sheetData>
    <row r="1" spans="1:26" ht="25.5" customHeight="1">
      <c r="A1" s="134" t="s">
        <v>273</v>
      </c>
      <c r="B1" s="135" t="s">
        <v>274</v>
      </c>
      <c r="C1" s="135" t="s">
        <v>275</v>
      </c>
      <c r="D1" s="135" t="s">
        <v>276</v>
      </c>
      <c r="E1" s="135" t="s">
        <v>277</v>
      </c>
      <c r="F1" s="136" t="s">
        <v>278</v>
      </c>
      <c r="G1" s="136" t="s">
        <v>279</v>
      </c>
      <c r="H1" s="137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12.75" customHeight="1">
      <c r="A2" s="139" t="s">
        <v>280</v>
      </c>
      <c r="B2" s="140" t="s">
        <v>281</v>
      </c>
      <c r="C2" s="141">
        <v>1</v>
      </c>
      <c r="D2" s="142">
        <v>20</v>
      </c>
      <c r="E2" s="143">
        <f t="shared" ref="E2:E5" si="0">20/D2*C2</f>
        <v>1</v>
      </c>
      <c r="F2" s="144">
        <v>52.16</v>
      </c>
      <c r="G2" s="145">
        <f t="shared" ref="G2:G5" si="1">F2*E2</f>
        <v>52.16</v>
      </c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38.25" customHeight="1">
      <c r="A3" s="146" t="s">
        <v>282</v>
      </c>
      <c r="B3" s="147" t="s">
        <v>283</v>
      </c>
      <c r="C3" s="147">
        <v>1</v>
      </c>
      <c r="D3" s="148">
        <v>60</v>
      </c>
      <c r="E3" s="143">
        <f t="shared" si="0"/>
        <v>0.33333333333333331</v>
      </c>
      <c r="F3" s="149">
        <v>293.77</v>
      </c>
      <c r="G3" s="145">
        <f t="shared" si="1"/>
        <v>97.923333333333318</v>
      </c>
      <c r="H3" s="137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2.75" customHeight="1">
      <c r="A4" s="139" t="s">
        <v>284</v>
      </c>
      <c r="B4" s="147" t="s">
        <v>281</v>
      </c>
      <c r="C4" s="147">
        <v>1</v>
      </c>
      <c r="D4" s="148">
        <v>60</v>
      </c>
      <c r="E4" s="143">
        <f t="shared" si="0"/>
        <v>0.33333333333333331</v>
      </c>
      <c r="F4" s="149">
        <v>294.92</v>
      </c>
      <c r="G4" s="145">
        <f t="shared" si="1"/>
        <v>98.306666666666672</v>
      </c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12.75" customHeight="1">
      <c r="A5" s="146" t="s">
        <v>285</v>
      </c>
      <c r="B5" s="147" t="s">
        <v>281</v>
      </c>
      <c r="C5" s="147">
        <v>3</v>
      </c>
      <c r="D5" s="148">
        <v>20</v>
      </c>
      <c r="E5" s="143">
        <f t="shared" si="0"/>
        <v>3</v>
      </c>
      <c r="F5" s="149">
        <v>13.71</v>
      </c>
      <c r="G5" s="145">
        <f t="shared" si="1"/>
        <v>41.13</v>
      </c>
      <c r="H5" s="137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2.75" customHeight="1">
      <c r="A6" s="318" t="s">
        <v>286</v>
      </c>
      <c r="B6" s="195"/>
      <c r="C6" s="195"/>
      <c r="D6" s="195"/>
      <c r="E6" s="195"/>
      <c r="F6" s="196"/>
      <c r="G6" s="150">
        <f>SUM(G2:G5)</f>
        <v>289.52</v>
      </c>
      <c r="H6" s="151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12.75" customHeight="1">
      <c r="A7" s="318" t="s">
        <v>287</v>
      </c>
      <c r="B7" s="195"/>
      <c r="C7" s="195"/>
      <c r="D7" s="195"/>
      <c r="E7" s="195"/>
      <c r="F7" s="196"/>
      <c r="G7" s="150">
        <f>G6/20</f>
        <v>14.475999999999999</v>
      </c>
      <c r="H7" s="151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ht="12.75" customHeight="1">
      <c r="A8" s="319" t="s">
        <v>288</v>
      </c>
      <c r="B8" s="189"/>
      <c r="C8" s="189"/>
      <c r="D8" s="189"/>
      <c r="E8" s="189"/>
      <c r="F8" s="189"/>
      <c r="G8" s="189"/>
      <c r="H8" s="152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12.75" customHeight="1">
      <c r="A9" s="319" t="s">
        <v>289</v>
      </c>
      <c r="B9" s="189"/>
      <c r="C9" s="189"/>
      <c r="D9" s="189"/>
      <c r="E9" s="189"/>
      <c r="F9" s="189"/>
      <c r="G9" s="189"/>
      <c r="H9" s="152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12.75" customHeight="1">
      <c r="A10" s="138"/>
      <c r="B10" s="153"/>
      <c r="C10" s="153"/>
      <c r="D10" s="153"/>
      <c r="E10" s="154"/>
      <c r="F10" s="154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25.5" customHeight="1">
      <c r="A11" s="155" t="s">
        <v>290</v>
      </c>
      <c r="B11" s="135" t="s">
        <v>274</v>
      </c>
      <c r="C11" s="135" t="s">
        <v>291</v>
      </c>
      <c r="D11" s="136" t="s">
        <v>292</v>
      </c>
      <c r="E11" s="136" t="s">
        <v>293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ht="25.5" customHeight="1">
      <c r="A12" s="156" t="s">
        <v>294</v>
      </c>
      <c r="B12" s="147" t="s">
        <v>281</v>
      </c>
      <c r="C12" s="157">
        <v>4</v>
      </c>
      <c r="D12" s="158">
        <v>113.26</v>
      </c>
      <c r="E12" s="159">
        <f t="shared" ref="E12:E24" si="2">C12*D12</f>
        <v>453.04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ht="25.5" customHeight="1">
      <c r="A13" s="156" t="s">
        <v>295</v>
      </c>
      <c r="B13" s="147" t="s">
        <v>281</v>
      </c>
      <c r="C13" s="157">
        <v>1</v>
      </c>
      <c r="D13" s="158">
        <v>127.87</v>
      </c>
      <c r="E13" s="159">
        <f t="shared" si="2"/>
        <v>127.87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ht="25.5" customHeight="1">
      <c r="A14" s="156" t="s">
        <v>296</v>
      </c>
      <c r="B14" s="147" t="s">
        <v>281</v>
      </c>
      <c r="C14" s="157">
        <v>3</v>
      </c>
      <c r="D14" s="158">
        <v>76.63</v>
      </c>
      <c r="E14" s="159">
        <f t="shared" si="2"/>
        <v>229.89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ht="25.5" customHeight="1">
      <c r="A15" s="156" t="s">
        <v>297</v>
      </c>
      <c r="B15" s="147" t="s">
        <v>281</v>
      </c>
      <c r="C15" s="157">
        <v>4</v>
      </c>
      <c r="D15" s="158">
        <v>83.29</v>
      </c>
      <c r="E15" s="159">
        <f t="shared" si="2"/>
        <v>333.16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25.5" customHeight="1">
      <c r="A16" s="156" t="s">
        <v>298</v>
      </c>
      <c r="B16" s="147" t="s">
        <v>281</v>
      </c>
      <c r="C16" s="157">
        <v>2</v>
      </c>
      <c r="D16" s="158">
        <v>111.54</v>
      </c>
      <c r="E16" s="159">
        <f t="shared" si="2"/>
        <v>223.08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ht="12.75" customHeight="1">
      <c r="A17" s="160" t="s">
        <v>299</v>
      </c>
      <c r="B17" s="147" t="s">
        <v>281</v>
      </c>
      <c r="C17" s="157">
        <v>2</v>
      </c>
      <c r="D17" s="158">
        <v>88.9</v>
      </c>
      <c r="E17" s="159">
        <f t="shared" si="2"/>
        <v>177.8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ht="12.75" customHeight="1">
      <c r="A18" s="160" t="s">
        <v>300</v>
      </c>
      <c r="B18" s="147" t="s">
        <v>281</v>
      </c>
      <c r="C18" s="157">
        <v>8</v>
      </c>
      <c r="D18" s="158">
        <v>9.93</v>
      </c>
      <c r="E18" s="159">
        <f t="shared" si="2"/>
        <v>79.44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ht="12.75" customHeight="1">
      <c r="A19" s="160" t="s">
        <v>301</v>
      </c>
      <c r="B19" s="147" t="s">
        <v>281</v>
      </c>
      <c r="C19" s="157">
        <v>4</v>
      </c>
      <c r="D19" s="158">
        <v>30.03</v>
      </c>
      <c r="E19" s="159">
        <f t="shared" si="2"/>
        <v>120.12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12.75" customHeight="1">
      <c r="A20" s="160" t="s">
        <v>302</v>
      </c>
      <c r="B20" s="147" t="s">
        <v>281</v>
      </c>
      <c r="C20" s="157">
        <v>1</v>
      </c>
      <c r="D20" s="158">
        <v>46.57</v>
      </c>
      <c r="E20" s="159">
        <f t="shared" si="2"/>
        <v>46.57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2.75" customHeight="1">
      <c r="A21" s="160" t="s">
        <v>303</v>
      </c>
      <c r="B21" s="147" t="s">
        <v>281</v>
      </c>
      <c r="C21" s="157">
        <v>2</v>
      </c>
      <c r="D21" s="158">
        <v>39.29</v>
      </c>
      <c r="E21" s="159">
        <f t="shared" si="2"/>
        <v>78.58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ht="12.75" customHeight="1">
      <c r="A22" s="160" t="s">
        <v>304</v>
      </c>
      <c r="B22" s="147" t="s">
        <v>281</v>
      </c>
      <c r="C22" s="157">
        <v>1</v>
      </c>
      <c r="D22" s="158">
        <v>42.96</v>
      </c>
      <c r="E22" s="159">
        <f t="shared" si="2"/>
        <v>42.96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12.75" customHeight="1">
      <c r="A23" s="160" t="s">
        <v>305</v>
      </c>
      <c r="B23" s="147" t="s">
        <v>281</v>
      </c>
      <c r="C23" s="157">
        <v>1</v>
      </c>
      <c r="D23" s="158">
        <v>30.64</v>
      </c>
      <c r="E23" s="159">
        <f t="shared" si="2"/>
        <v>30.64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ht="12.75" customHeight="1">
      <c r="A24" s="161" t="s">
        <v>306</v>
      </c>
      <c r="B24" s="147" t="s">
        <v>281</v>
      </c>
      <c r="C24" s="157">
        <v>20</v>
      </c>
      <c r="D24" s="158">
        <v>2.66</v>
      </c>
      <c r="E24" s="159">
        <f t="shared" si="2"/>
        <v>53.2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ht="12.75" customHeight="1">
      <c r="A25" s="318" t="s">
        <v>307</v>
      </c>
      <c r="B25" s="195"/>
      <c r="C25" s="195"/>
      <c r="D25" s="196"/>
      <c r="E25" s="162">
        <f>SUM(E12:E24)</f>
        <v>1996.3500000000001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ht="12.75" customHeight="1">
      <c r="A26" s="318" t="s">
        <v>308</v>
      </c>
      <c r="B26" s="195"/>
      <c r="C26" s="195"/>
      <c r="D26" s="196"/>
      <c r="E26" s="162">
        <f>E25/20</f>
        <v>99.81750000000001</v>
      </c>
      <c r="F26" s="154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ht="12.75" customHeight="1">
      <c r="A27" s="319" t="s">
        <v>309</v>
      </c>
      <c r="B27" s="189"/>
      <c r="C27" s="189"/>
      <c r="D27" s="189"/>
      <c r="E27" s="189"/>
      <c r="F27" s="189"/>
      <c r="G27" s="189"/>
      <c r="H27" s="152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12.75" customHeight="1">
      <c r="A28" s="138"/>
      <c r="B28" s="153"/>
      <c r="C28" s="153"/>
      <c r="D28" s="153"/>
      <c r="E28" s="154"/>
      <c r="F28" s="154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ht="38.25" customHeight="1">
      <c r="A29" s="163" t="s">
        <v>310</v>
      </c>
      <c r="B29" s="320" t="s">
        <v>311</v>
      </c>
      <c r="C29" s="196"/>
      <c r="D29" s="320" t="s">
        <v>312</v>
      </c>
      <c r="E29" s="196"/>
      <c r="F29" s="321" t="s">
        <v>313</v>
      </c>
      <c r="G29" s="196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ht="12.75" customHeight="1">
      <c r="A30" s="164" t="s">
        <v>314</v>
      </c>
      <c r="B30" s="164"/>
      <c r="C30" s="164">
        <f>G6</f>
        <v>289.52</v>
      </c>
      <c r="D30" s="314">
        <f>C30/20</f>
        <v>14.475999999999999</v>
      </c>
      <c r="E30" s="196"/>
      <c r="F30" s="313">
        <f>D30/G38</f>
        <v>14.475999999999999</v>
      </c>
      <c r="G30" s="196"/>
      <c r="H30" s="165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ht="12.75" customHeight="1">
      <c r="A31" s="315"/>
      <c r="B31" s="195"/>
      <c r="C31" s="195"/>
      <c r="D31" s="195"/>
      <c r="E31" s="196"/>
      <c r="F31" s="316"/>
      <c r="G31" s="196"/>
      <c r="H31" s="165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12.75" customHeight="1">
      <c r="A32" s="166" t="s">
        <v>315</v>
      </c>
      <c r="B32" s="312" t="s">
        <v>311</v>
      </c>
      <c r="C32" s="196"/>
      <c r="D32" s="312" t="s">
        <v>312</v>
      </c>
      <c r="E32" s="196"/>
      <c r="F32" s="313"/>
      <c r="G32" s="196"/>
      <c r="H32" s="165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ht="12.75" customHeight="1">
      <c r="A33" s="167" t="s">
        <v>188</v>
      </c>
      <c r="B33" s="167"/>
      <c r="C33" s="167">
        <f>E25</f>
        <v>1996.3500000000001</v>
      </c>
      <c r="D33" s="314">
        <f>C33/20</f>
        <v>99.81750000000001</v>
      </c>
      <c r="E33" s="196"/>
      <c r="F33" s="168"/>
      <c r="G33" s="168">
        <f>D33</f>
        <v>99.81750000000001</v>
      </c>
      <c r="H33" s="165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12.75" customHeight="1">
      <c r="A34" s="315"/>
      <c r="B34" s="195"/>
      <c r="C34" s="195"/>
      <c r="D34" s="195"/>
      <c r="E34" s="196"/>
      <c r="F34" s="316"/>
      <c r="G34" s="196"/>
      <c r="H34" s="165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ht="12.75" customHeight="1">
      <c r="A35" s="150" t="s">
        <v>316</v>
      </c>
      <c r="B35" s="317">
        <f>SUM(C30,C33)</f>
        <v>2285.87</v>
      </c>
      <c r="C35" s="196"/>
      <c r="D35" s="317">
        <f>B35/12</f>
        <v>190.48916666666665</v>
      </c>
      <c r="E35" s="196"/>
      <c r="F35" s="150"/>
      <c r="G35" s="169">
        <f>SUM(F30,G33)</f>
        <v>114.29350000000001</v>
      </c>
      <c r="H35" s="165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ht="12.75" customHeight="1">
      <c r="A36" s="18"/>
      <c r="B36" s="170"/>
      <c r="C36" s="170"/>
      <c r="D36" s="170"/>
      <c r="E36" s="170"/>
      <c r="F36" s="158"/>
      <c r="G36" s="171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19.5" customHeight="1">
      <c r="A37" s="311" t="s">
        <v>317</v>
      </c>
      <c r="B37" s="195"/>
      <c r="C37" s="195"/>
      <c r="D37" s="195"/>
      <c r="E37" s="195"/>
      <c r="F37" s="196"/>
      <c r="G37" s="172">
        <v>1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19.5" customHeight="1">
      <c r="A38" s="311" t="s">
        <v>318</v>
      </c>
      <c r="B38" s="195"/>
      <c r="C38" s="195"/>
      <c r="D38" s="195"/>
      <c r="E38" s="195"/>
      <c r="F38" s="196"/>
      <c r="G38" s="172">
        <v>1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ht="27" customHeight="1">
      <c r="A39" s="233" t="s">
        <v>319</v>
      </c>
      <c r="B39" s="195"/>
      <c r="C39" s="195"/>
      <c r="D39" s="195"/>
      <c r="E39" s="195"/>
      <c r="F39" s="195"/>
      <c r="G39" s="196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ht="12.75" customHeight="1">
      <c r="A40" s="138"/>
      <c r="B40" s="153"/>
      <c r="C40" s="153"/>
      <c r="D40" s="153"/>
      <c r="E40" s="154"/>
      <c r="F40" s="154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12.75" customHeight="1">
      <c r="A41" s="138"/>
      <c r="B41" s="153"/>
      <c r="C41" s="153"/>
      <c r="D41" s="153"/>
      <c r="E41" s="154"/>
      <c r="F41" s="154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ht="12.75" customHeight="1">
      <c r="A42" s="138"/>
      <c r="B42" s="153"/>
      <c r="C42" s="153"/>
      <c r="D42" s="153"/>
      <c r="E42" s="154"/>
      <c r="F42" s="154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 ht="12.75" customHeight="1">
      <c r="A43" s="138"/>
      <c r="B43" s="153"/>
      <c r="C43" s="153"/>
      <c r="D43" s="153"/>
      <c r="E43" s="154"/>
      <c r="F43" s="154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12.75" customHeight="1">
      <c r="A44" s="138"/>
      <c r="B44" s="153"/>
      <c r="C44" s="153"/>
      <c r="D44" s="153"/>
      <c r="E44" s="154"/>
      <c r="F44" s="154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ht="12.75" customHeight="1">
      <c r="A45" s="138"/>
      <c r="B45" s="153"/>
      <c r="C45" s="153"/>
      <c r="D45" s="153"/>
      <c r="E45" s="154"/>
      <c r="F45" s="154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ht="12.75" customHeight="1">
      <c r="A46" s="138"/>
      <c r="B46" s="153"/>
      <c r="C46" s="153"/>
      <c r="D46" s="153"/>
      <c r="E46" s="154"/>
      <c r="F46" s="154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ht="12.75" customHeight="1">
      <c r="A47" s="138"/>
      <c r="B47" s="153"/>
      <c r="C47" s="153"/>
      <c r="D47" s="153"/>
      <c r="E47" s="154"/>
      <c r="F47" s="154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2.75" customHeight="1">
      <c r="A48" s="138"/>
      <c r="B48" s="153"/>
      <c r="C48" s="153"/>
      <c r="D48" s="153"/>
      <c r="E48" s="154"/>
      <c r="F48" s="154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2.75" customHeight="1">
      <c r="A49" s="138"/>
      <c r="B49" s="153"/>
      <c r="C49" s="153"/>
      <c r="D49" s="153"/>
      <c r="E49" s="154"/>
      <c r="F49" s="154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2.75" customHeight="1">
      <c r="A50" s="138"/>
      <c r="B50" s="153"/>
      <c r="C50" s="153"/>
      <c r="D50" s="153"/>
      <c r="E50" s="154"/>
      <c r="F50" s="154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2.75" customHeight="1">
      <c r="A51" s="138"/>
      <c r="B51" s="153"/>
      <c r="C51" s="153"/>
      <c r="D51" s="153"/>
      <c r="E51" s="154"/>
      <c r="F51" s="154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ht="12.75" customHeight="1">
      <c r="A52" s="138"/>
      <c r="B52" s="153"/>
      <c r="C52" s="153"/>
      <c r="D52" s="153"/>
      <c r="E52" s="154"/>
      <c r="F52" s="154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12.75" customHeight="1">
      <c r="A53" s="138"/>
      <c r="B53" s="153"/>
      <c r="C53" s="153"/>
      <c r="D53" s="153"/>
      <c r="E53" s="154"/>
      <c r="F53" s="154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 ht="12.75" customHeight="1">
      <c r="A54" s="138"/>
      <c r="B54" s="153"/>
      <c r="C54" s="153"/>
      <c r="D54" s="153"/>
      <c r="E54" s="154"/>
      <c r="F54" s="154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2.75" customHeight="1">
      <c r="A55" s="138"/>
      <c r="B55" s="153"/>
      <c r="C55" s="153"/>
      <c r="D55" s="153"/>
      <c r="E55" s="154"/>
      <c r="F55" s="154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2.75" customHeight="1">
      <c r="A56" s="138"/>
      <c r="B56" s="153"/>
      <c r="C56" s="153"/>
      <c r="D56" s="153"/>
      <c r="E56" s="154"/>
      <c r="F56" s="154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2.75" customHeight="1">
      <c r="A57" s="138"/>
      <c r="B57" s="153"/>
      <c r="C57" s="153"/>
      <c r="D57" s="153"/>
      <c r="E57" s="154"/>
      <c r="F57" s="154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2.75" customHeight="1">
      <c r="A58" s="138"/>
      <c r="B58" s="153"/>
      <c r="C58" s="153"/>
      <c r="D58" s="153"/>
      <c r="E58" s="154"/>
      <c r="F58" s="154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2.75" customHeight="1">
      <c r="A59" s="138"/>
      <c r="B59" s="153"/>
      <c r="C59" s="153"/>
      <c r="D59" s="153"/>
      <c r="E59" s="154"/>
      <c r="F59" s="154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12.75" customHeight="1">
      <c r="A60" s="138"/>
      <c r="B60" s="153"/>
      <c r="C60" s="153"/>
      <c r="D60" s="153"/>
      <c r="E60" s="154"/>
      <c r="F60" s="154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12.75" customHeight="1">
      <c r="A61" s="138"/>
      <c r="B61" s="153"/>
      <c r="C61" s="153"/>
      <c r="D61" s="153"/>
      <c r="E61" s="154"/>
      <c r="F61" s="154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2.75" customHeight="1">
      <c r="A62" s="138"/>
      <c r="B62" s="153"/>
      <c r="C62" s="153"/>
      <c r="D62" s="153"/>
      <c r="E62" s="154"/>
      <c r="F62" s="154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2.75" customHeight="1">
      <c r="A63" s="138"/>
      <c r="B63" s="153"/>
      <c r="C63" s="153"/>
      <c r="D63" s="153"/>
      <c r="E63" s="154"/>
      <c r="F63" s="154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2.75" customHeight="1">
      <c r="A64" s="138"/>
      <c r="B64" s="153"/>
      <c r="C64" s="153"/>
      <c r="D64" s="153"/>
      <c r="E64" s="154"/>
      <c r="F64" s="154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 ht="12.75" customHeight="1">
      <c r="A65" s="138"/>
      <c r="B65" s="153"/>
      <c r="C65" s="153"/>
      <c r="D65" s="153"/>
      <c r="E65" s="154"/>
      <c r="F65" s="154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12.75" customHeight="1">
      <c r="A66" s="138"/>
      <c r="B66" s="153"/>
      <c r="C66" s="153"/>
      <c r="D66" s="153"/>
      <c r="E66" s="154"/>
      <c r="F66" s="154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2.75" customHeight="1">
      <c r="A67" s="138"/>
      <c r="B67" s="153"/>
      <c r="C67" s="153"/>
      <c r="D67" s="153"/>
      <c r="E67" s="154"/>
      <c r="F67" s="154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12.75" customHeight="1">
      <c r="A68" s="138"/>
      <c r="B68" s="153"/>
      <c r="C68" s="153"/>
      <c r="D68" s="153"/>
      <c r="E68" s="154"/>
      <c r="F68" s="154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12.75" customHeight="1">
      <c r="A69" s="138"/>
      <c r="B69" s="153"/>
      <c r="C69" s="153"/>
      <c r="D69" s="153"/>
      <c r="E69" s="154"/>
      <c r="F69" s="154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2.75" customHeight="1">
      <c r="A70" s="138"/>
      <c r="B70" s="153"/>
      <c r="C70" s="153"/>
      <c r="D70" s="153"/>
      <c r="E70" s="154"/>
      <c r="F70" s="154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2.75" customHeight="1">
      <c r="A71" s="138"/>
      <c r="B71" s="153"/>
      <c r="C71" s="153"/>
      <c r="D71" s="153"/>
      <c r="E71" s="154"/>
      <c r="F71" s="154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2.75" customHeight="1">
      <c r="A72" s="138"/>
      <c r="B72" s="153"/>
      <c r="C72" s="153"/>
      <c r="D72" s="153"/>
      <c r="E72" s="154"/>
      <c r="F72" s="154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2.75" customHeight="1">
      <c r="A73" s="138"/>
      <c r="B73" s="153"/>
      <c r="C73" s="153"/>
      <c r="D73" s="153"/>
      <c r="E73" s="154"/>
      <c r="F73" s="154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 ht="12.75" customHeight="1">
      <c r="A74" s="138"/>
      <c r="B74" s="153"/>
      <c r="C74" s="153"/>
      <c r="D74" s="153"/>
      <c r="E74" s="154"/>
      <c r="F74" s="154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12.75" customHeight="1">
      <c r="A75" s="138"/>
      <c r="B75" s="153"/>
      <c r="C75" s="153"/>
      <c r="D75" s="153"/>
      <c r="E75" s="154"/>
      <c r="F75" s="154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12.75" customHeight="1">
      <c r="A76" s="138"/>
      <c r="B76" s="153"/>
      <c r="C76" s="153"/>
      <c r="D76" s="153"/>
      <c r="E76" s="154"/>
      <c r="F76" s="154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12.75" customHeight="1">
      <c r="A77" s="138"/>
      <c r="B77" s="153"/>
      <c r="C77" s="153"/>
      <c r="D77" s="153"/>
      <c r="E77" s="154"/>
      <c r="F77" s="154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12.75" customHeight="1">
      <c r="A78" s="138"/>
      <c r="B78" s="153"/>
      <c r="C78" s="153"/>
      <c r="D78" s="153"/>
      <c r="E78" s="154"/>
      <c r="F78" s="154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12.75" customHeight="1">
      <c r="A79" s="138"/>
      <c r="B79" s="153"/>
      <c r="C79" s="153"/>
      <c r="D79" s="153"/>
      <c r="E79" s="154"/>
      <c r="F79" s="154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12.75" customHeight="1">
      <c r="A80" s="138"/>
      <c r="B80" s="153"/>
      <c r="C80" s="153"/>
      <c r="D80" s="153"/>
      <c r="E80" s="154"/>
      <c r="F80" s="154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2.75" customHeight="1">
      <c r="A81" s="138"/>
      <c r="B81" s="153"/>
      <c r="C81" s="153"/>
      <c r="D81" s="153"/>
      <c r="E81" s="154"/>
      <c r="F81" s="154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 ht="12.75" customHeight="1">
      <c r="A82" s="138"/>
      <c r="B82" s="153"/>
      <c r="C82" s="153"/>
      <c r="D82" s="153"/>
      <c r="E82" s="154"/>
      <c r="F82" s="154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 ht="12.75" customHeight="1">
      <c r="A83" s="138"/>
      <c r="B83" s="153"/>
      <c r="C83" s="153"/>
      <c r="D83" s="153"/>
      <c r="E83" s="154"/>
      <c r="F83" s="154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 ht="12.75" customHeight="1">
      <c r="A84" s="138"/>
      <c r="B84" s="153"/>
      <c r="C84" s="153"/>
      <c r="D84" s="153"/>
      <c r="E84" s="154"/>
      <c r="F84" s="154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 ht="12.75" customHeight="1">
      <c r="A85" s="138"/>
      <c r="B85" s="153"/>
      <c r="C85" s="153"/>
      <c r="D85" s="153"/>
      <c r="E85" s="154"/>
      <c r="F85" s="154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12.75" customHeight="1">
      <c r="A86" s="138"/>
      <c r="B86" s="153"/>
      <c r="C86" s="153"/>
      <c r="D86" s="153"/>
      <c r="E86" s="154"/>
      <c r="F86" s="154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12.75" customHeight="1">
      <c r="A87" s="138"/>
      <c r="B87" s="153"/>
      <c r="C87" s="153"/>
      <c r="D87" s="153"/>
      <c r="E87" s="154"/>
      <c r="F87" s="154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12.75" customHeight="1">
      <c r="A88" s="138"/>
      <c r="B88" s="153"/>
      <c r="C88" s="153"/>
      <c r="D88" s="153"/>
      <c r="E88" s="154"/>
      <c r="F88" s="154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ht="12.75" customHeight="1">
      <c r="A89" s="138"/>
      <c r="B89" s="153"/>
      <c r="C89" s="153"/>
      <c r="D89" s="153"/>
      <c r="E89" s="154"/>
      <c r="F89" s="154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12.75" customHeight="1">
      <c r="A90" s="138"/>
      <c r="B90" s="153"/>
      <c r="C90" s="153"/>
      <c r="D90" s="153"/>
      <c r="E90" s="154"/>
      <c r="F90" s="154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 ht="12.75" customHeight="1">
      <c r="A91" s="138"/>
      <c r="B91" s="153"/>
      <c r="C91" s="153"/>
      <c r="D91" s="153"/>
      <c r="E91" s="154"/>
      <c r="F91" s="154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 ht="12.75" customHeight="1">
      <c r="A92" s="138"/>
      <c r="B92" s="153"/>
      <c r="C92" s="153"/>
      <c r="D92" s="153"/>
      <c r="E92" s="154"/>
      <c r="F92" s="154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12.75" customHeight="1">
      <c r="A93" s="138"/>
      <c r="B93" s="153"/>
      <c r="C93" s="153"/>
      <c r="D93" s="153"/>
      <c r="E93" s="154"/>
      <c r="F93" s="154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12.75" customHeight="1">
      <c r="A94" s="138"/>
      <c r="B94" s="153"/>
      <c r="C94" s="153"/>
      <c r="D94" s="153"/>
      <c r="E94" s="154"/>
      <c r="F94" s="154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12.75" customHeight="1">
      <c r="A95" s="138"/>
      <c r="B95" s="153"/>
      <c r="C95" s="153"/>
      <c r="D95" s="153"/>
      <c r="E95" s="154"/>
      <c r="F95" s="154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12.75" customHeight="1">
      <c r="A96" s="138"/>
      <c r="B96" s="153"/>
      <c r="C96" s="153"/>
      <c r="D96" s="153"/>
      <c r="E96" s="154"/>
      <c r="F96" s="154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12.75" customHeight="1">
      <c r="A97" s="138"/>
      <c r="B97" s="153"/>
      <c r="C97" s="153"/>
      <c r="D97" s="153"/>
      <c r="E97" s="154"/>
      <c r="F97" s="154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12.75" customHeight="1">
      <c r="A98" s="138"/>
      <c r="B98" s="153"/>
      <c r="C98" s="153"/>
      <c r="D98" s="153"/>
      <c r="E98" s="154"/>
      <c r="F98" s="154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ht="12.75" customHeight="1">
      <c r="A99" s="138"/>
      <c r="B99" s="153"/>
      <c r="C99" s="153"/>
      <c r="D99" s="153"/>
      <c r="E99" s="154"/>
      <c r="F99" s="154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ht="12.75" customHeight="1">
      <c r="A100" s="138"/>
      <c r="B100" s="153"/>
      <c r="C100" s="153"/>
      <c r="D100" s="153"/>
      <c r="E100" s="154"/>
      <c r="F100" s="154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12.75" customHeight="1">
      <c r="A101" s="138"/>
      <c r="B101" s="153"/>
      <c r="C101" s="153"/>
      <c r="D101" s="153"/>
      <c r="E101" s="154"/>
      <c r="F101" s="154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12.75" customHeight="1">
      <c r="A102" s="138"/>
      <c r="B102" s="153"/>
      <c r="C102" s="153"/>
      <c r="D102" s="153"/>
      <c r="E102" s="154"/>
      <c r="F102" s="154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12.75" customHeight="1">
      <c r="A103" s="138"/>
      <c r="B103" s="153"/>
      <c r="C103" s="153"/>
      <c r="D103" s="153"/>
      <c r="E103" s="154"/>
      <c r="F103" s="154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12.75" customHeight="1">
      <c r="A104" s="138"/>
      <c r="B104" s="153"/>
      <c r="C104" s="153"/>
      <c r="D104" s="153"/>
      <c r="E104" s="154"/>
      <c r="F104" s="154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ht="12.75" customHeight="1">
      <c r="A105" s="138"/>
      <c r="B105" s="153"/>
      <c r="C105" s="153"/>
      <c r="D105" s="153"/>
      <c r="E105" s="154"/>
      <c r="F105" s="154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2.75" customHeight="1">
      <c r="A106" s="138"/>
      <c r="B106" s="153"/>
      <c r="C106" s="153"/>
      <c r="D106" s="153"/>
      <c r="E106" s="154"/>
      <c r="F106" s="154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ht="12.75" customHeight="1">
      <c r="A107" s="138"/>
      <c r="B107" s="153"/>
      <c r="C107" s="153"/>
      <c r="D107" s="153"/>
      <c r="E107" s="154"/>
      <c r="F107" s="154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12.75" customHeight="1">
      <c r="A108" s="138"/>
      <c r="B108" s="153"/>
      <c r="C108" s="153"/>
      <c r="D108" s="153"/>
      <c r="E108" s="154"/>
      <c r="F108" s="154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2.75" customHeight="1">
      <c r="A109" s="138"/>
      <c r="B109" s="153"/>
      <c r="C109" s="153"/>
      <c r="D109" s="153"/>
      <c r="E109" s="154"/>
      <c r="F109" s="154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12.75" customHeight="1">
      <c r="A110" s="138"/>
      <c r="B110" s="153"/>
      <c r="C110" s="153"/>
      <c r="D110" s="153"/>
      <c r="E110" s="154"/>
      <c r="F110" s="154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ht="12.75" customHeight="1">
      <c r="A111" s="138"/>
      <c r="B111" s="153"/>
      <c r="C111" s="153"/>
      <c r="D111" s="153"/>
      <c r="E111" s="154"/>
      <c r="F111" s="154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12.75" customHeight="1">
      <c r="A112" s="138"/>
      <c r="B112" s="153"/>
      <c r="C112" s="153"/>
      <c r="D112" s="153"/>
      <c r="E112" s="154"/>
      <c r="F112" s="154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12.75" customHeight="1">
      <c r="A113" s="138"/>
      <c r="B113" s="153"/>
      <c r="C113" s="153"/>
      <c r="D113" s="153"/>
      <c r="E113" s="154"/>
      <c r="F113" s="154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12.75" customHeight="1">
      <c r="A114" s="138"/>
      <c r="B114" s="153"/>
      <c r="C114" s="153"/>
      <c r="D114" s="153"/>
      <c r="E114" s="154"/>
      <c r="F114" s="154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ht="12.75" customHeight="1">
      <c r="A115" s="138"/>
      <c r="B115" s="153"/>
      <c r="C115" s="153"/>
      <c r="D115" s="153"/>
      <c r="E115" s="154"/>
      <c r="F115" s="154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ht="12.75" customHeight="1">
      <c r="A116" s="138"/>
      <c r="B116" s="153"/>
      <c r="C116" s="153"/>
      <c r="D116" s="153"/>
      <c r="E116" s="154"/>
      <c r="F116" s="154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ht="12.75" customHeight="1">
      <c r="A117" s="138"/>
      <c r="B117" s="153"/>
      <c r="C117" s="153"/>
      <c r="D117" s="153"/>
      <c r="E117" s="154"/>
      <c r="F117" s="154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ht="12.75" customHeight="1">
      <c r="A118" s="138"/>
      <c r="B118" s="153"/>
      <c r="C118" s="153"/>
      <c r="D118" s="153"/>
      <c r="E118" s="154"/>
      <c r="F118" s="154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ht="12.75" customHeight="1">
      <c r="A119" s="138"/>
      <c r="B119" s="153"/>
      <c r="C119" s="153"/>
      <c r="D119" s="153"/>
      <c r="E119" s="154"/>
      <c r="F119" s="154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ht="12.75" customHeight="1">
      <c r="A120" s="138"/>
      <c r="B120" s="153"/>
      <c r="C120" s="153"/>
      <c r="D120" s="153"/>
      <c r="E120" s="154"/>
      <c r="F120" s="154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ht="12.75" customHeight="1">
      <c r="A121" s="138"/>
      <c r="B121" s="153"/>
      <c r="C121" s="153"/>
      <c r="D121" s="153"/>
      <c r="E121" s="154"/>
      <c r="F121" s="154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ht="12.75" customHeight="1">
      <c r="A122" s="138"/>
      <c r="B122" s="153"/>
      <c r="C122" s="153"/>
      <c r="D122" s="153"/>
      <c r="E122" s="154"/>
      <c r="F122" s="154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12.75" customHeight="1">
      <c r="A123" s="138"/>
      <c r="B123" s="153"/>
      <c r="C123" s="153"/>
      <c r="D123" s="153"/>
      <c r="E123" s="154"/>
      <c r="F123" s="154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12.75" customHeight="1">
      <c r="A124" s="138"/>
      <c r="B124" s="153"/>
      <c r="C124" s="153"/>
      <c r="D124" s="153"/>
      <c r="E124" s="154"/>
      <c r="F124" s="154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ht="12.75" customHeight="1">
      <c r="A125" s="138"/>
      <c r="B125" s="153"/>
      <c r="C125" s="153"/>
      <c r="D125" s="153"/>
      <c r="E125" s="154"/>
      <c r="F125" s="154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12.75" customHeight="1">
      <c r="A126" s="138"/>
      <c r="B126" s="153"/>
      <c r="C126" s="153"/>
      <c r="D126" s="153"/>
      <c r="E126" s="154"/>
      <c r="F126" s="154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12.75" customHeight="1">
      <c r="A127" s="138"/>
      <c r="B127" s="153"/>
      <c r="C127" s="153"/>
      <c r="D127" s="153"/>
      <c r="E127" s="154"/>
      <c r="F127" s="154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12.75" customHeight="1">
      <c r="A128" s="138"/>
      <c r="B128" s="153"/>
      <c r="C128" s="153"/>
      <c r="D128" s="153"/>
      <c r="E128" s="154"/>
      <c r="F128" s="154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12.75" customHeight="1">
      <c r="A129" s="138"/>
      <c r="B129" s="153"/>
      <c r="C129" s="153"/>
      <c r="D129" s="153"/>
      <c r="E129" s="154"/>
      <c r="F129" s="154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ht="12.75" customHeight="1">
      <c r="A130" s="138"/>
      <c r="B130" s="153"/>
      <c r="C130" s="153"/>
      <c r="D130" s="153"/>
      <c r="E130" s="154"/>
      <c r="F130" s="154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ht="12.75" customHeight="1">
      <c r="A131" s="138"/>
      <c r="B131" s="153"/>
      <c r="C131" s="153"/>
      <c r="D131" s="153"/>
      <c r="E131" s="154"/>
      <c r="F131" s="154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2.75" customHeight="1">
      <c r="A132" s="138"/>
      <c r="B132" s="153"/>
      <c r="C132" s="153"/>
      <c r="D132" s="153"/>
      <c r="E132" s="154"/>
      <c r="F132" s="154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ht="12.75" customHeight="1">
      <c r="A133" s="138"/>
      <c r="B133" s="153"/>
      <c r="C133" s="153"/>
      <c r="D133" s="153"/>
      <c r="E133" s="154"/>
      <c r="F133" s="154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ht="12.75" customHeight="1">
      <c r="A134" s="138"/>
      <c r="B134" s="153"/>
      <c r="C134" s="153"/>
      <c r="D134" s="153"/>
      <c r="E134" s="154"/>
      <c r="F134" s="154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ht="12.75" customHeight="1">
      <c r="A135" s="138"/>
      <c r="B135" s="153"/>
      <c r="C135" s="153"/>
      <c r="D135" s="153"/>
      <c r="E135" s="154"/>
      <c r="F135" s="154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ht="12.75" customHeight="1">
      <c r="A136" s="138"/>
      <c r="B136" s="153"/>
      <c r="C136" s="153"/>
      <c r="D136" s="153"/>
      <c r="E136" s="154"/>
      <c r="F136" s="154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ht="12.75" customHeight="1">
      <c r="A137" s="138"/>
      <c r="B137" s="153"/>
      <c r="C137" s="153"/>
      <c r="D137" s="153"/>
      <c r="E137" s="154"/>
      <c r="F137" s="154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ht="12.75" customHeight="1">
      <c r="A138" s="138"/>
      <c r="B138" s="153"/>
      <c r="C138" s="153"/>
      <c r="D138" s="153"/>
      <c r="E138" s="154"/>
      <c r="F138" s="154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ht="12.75" customHeight="1">
      <c r="A139" s="138"/>
      <c r="B139" s="153"/>
      <c r="C139" s="153"/>
      <c r="D139" s="153"/>
      <c r="E139" s="154"/>
      <c r="F139" s="154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ht="12.75" customHeight="1">
      <c r="A140" s="138"/>
      <c r="B140" s="153"/>
      <c r="C140" s="153"/>
      <c r="D140" s="153"/>
      <c r="E140" s="154"/>
      <c r="F140" s="154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ht="12.75" customHeight="1">
      <c r="A141" s="138"/>
      <c r="B141" s="153"/>
      <c r="C141" s="153"/>
      <c r="D141" s="153"/>
      <c r="E141" s="154"/>
      <c r="F141" s="154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2.75" customHeight="1">
      <c r="A142" s="138"/>
      <c r="B142" s="153"/>
      <c r="C142" s="153"/>
      <c r="D142" s="153"/>
      <c r="E142" s="154"/>
      <c r="F142" s="154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ht="12.75" customHeight="1">
      <c r="A143" s="138"/>
      <c r="B143" s="153"/>
      <c r="C143" s="153"/>
      <c r="D143" s="153"/>
      <c r="E143" s="154"/>
      <c r="F143" s="154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ht="12.75" customHeight="1">
      <c r="A144" s="138"/>
      <c r="B144" s="153"/>
      <c r="C144" s="153"/>
      <c r="D144" s="153"/>
      <c r="E144" s="154"/>
      <c r="F144" s="154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ht="12.75" customHeight="1">
      <c r="A145" s="138"/>
      <c r="B145" s="153"/>
      <c r="C145" s="153"/>
      <c r="D145" s="153"/>
      <c r="E145" s="154"/>
      <c r="F145" s="154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ht="12.75" customHeight="1">
      <c r="A146" s="138"/>
      <c r="B146" s="153"/>
      <c r="C146" s="153"/>
      <c r="D146" s="153"/>
      <c r="E146" s="154"/>
      <c r="F146" s="154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12.75" customHeight="1">
      <c r="A147" s="138"/>
      <c r="B147" s="153"/>
      <c r="C147" s="153"/>
      <c r="D147" s="153"/>
      <c r="E147" s="154"/>
      <c r="F147" s="154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ht="12.75" customHeight="1">
      <c r="A148" s="138"/>
      <c r="B148" s="153"/>
      <c r="C148" s="153"/>
      <c r="D148" s="153"/>
      <c r="E148" s="154"/>
      <c r="F148" s="154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ht="12.75" customHeight="1">
      <c r="A149" s="138"/>
      <c r="B149" s="153"/>
      <c r="C149" s="153"/>
      <c r="D149" s="153"/>
      <c r="E149" s="154"/>
      <c r="F149" s="154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ht="12.75" customHeight="1">
      <c r="A150" s="138"/>
      <c r="B150" s="153"/>
      <c r="C150" s="153"/>
      <c r="D150" s="153"/>
      <c r="E150" s="154"/>
      <c r="F150" s="154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ht="12.75" customHeight="1">
      <c r="A151" s="138"/>
      <c r="B151" s="153"/>
      <c r="C151" s="153"/>
      <c r="D151" s="153"/>
      <c r="E151" s="154"/>
      <c r="F151" s="154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2.75" customHeight="1">
      <c r="A152" s="138"/>
      <c r="B152" s="153"/>
      <c r="C152" s="153"/>
      <c r="D152" s="153"/>
      <c r="E152" s="154"/>
      <c r="F152" s="154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ht="12.75" customHeight="1">
      <c r="A153" s="138"/>
      <c r="B153" s="153"/>
      <c r="C153" s="153"/>
      <c r="D153" s="153"/>
      <c r="E153" s="154"/>
      <c r="F153" s="154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ht="12.75" customHeight="1">
      <c r="A154" s="138"/>
      <c r="B154" s="153"/>
      <c r="C154" s="153"/>
      <c r="D154" s="153"/>
      <c r="E154" s="154"/>
      <c r="F154" s="154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ht="12.75" customHeight="1">
      <c r="A155" s="138"/>
      <c r="B155" s="153"/>
      <c r="C155" s="153"/>
      <c r="D155" s="153"/>
      <c r="E155" s="154"/>
      <c r="F155" s="154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12.75" customHeight="1">
      <c r="A156" s="138"/>
      <c r="B156" s="153"/>
      <c r="C156" s="153"/>
      <c r="D156" s="153"/>
      <c r="E156" s="154"/>
      <c r="F156" s="154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ht="12.75" customHeight="1">
      <c r="A157" s="138"/>
      <c r="B157" s="153"/>
      <c r="C157" s="153"/>
      <c r="D157" s="153"/>
      <c r="E157" s="154"/>
      <c r="F157" s="154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ht="12.75" customHeight="1">
      <c r="A158" s="138"/>
      <c r="B158" s="153"/>
      <c r="C158" s="153"/>
      <c r="D158" s="153"/>
      <c r="E158" s="154"/>
      <c r="F158" s="154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ht="12.75" customHeight="1">
      <c r="A159" s="138"/>
      <c r="B159" s="153"/>
      <c r="C159" s="153"/>
      <c r="D159" s="153"/>
      <c r="E159" s="154"/>
      <c r="F159" s="154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12.75" customHeight="1">
      <c r="A160" s="138"/>
      <c r="B160" s="153"/>
      <c r="C160" s="153"/>
      <c r="D160" s="153"/>
      <c r="E160" s="154"/>
      <c r="F160" s="154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ht="12.75" customHeight="1">
      <c r="A161" s="138"/>
      <c r="B161" s="153"/>
      <c r="C161" s="153"/>
      <c r="D161" s="153"/>
      <c r="E161" s="154"/>
      <c r="F161" s="154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ht="12.75" customHeight="1">
      <c r="A162" s="138"/>
      <c r="B162" s="153"/>
      <c r="C162" s="153"/>
      <c r="D162" s="153"/>
      <c r="E162" s="154"/>
      <c r="F162" s="154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 ht="12.75" customHeight="1">
      <c r="A163" s="138"/>
      <c r="B163" s="153"/>
      <c r="C163" s="153"/>
      <c r="D163" s="153"/>
      <c r="E163" s="154"/>
      <c r="F163" s="154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 ht="12.75" customHeight="1">
      <c r="A164" s="138"/>
      <c r="B164" s="153"/>
      <c r="C164" s="153"/>
      <c r="D164" s="153"/>
      <c r="E164" s="154"/>
      <c r="F164" s="154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ht="12.75" customHeight="1">
      <c r="A165" s="138"/>
      <c r="B165" s="153"/>
      <c r="C165" s="153"/>
      <c r="D165" s="153"/>
      <c r="E165" s="154"/>
      <c r="F165" s="154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ht="12.75" customHeight="1">
      <c r="A166" s="138"/>
      <c r="B166" s="153"/>
      <c r="C166" s="153"/>
      <c r="D166" s="153"/>
      <c r="E166" s="154"/>
      <c r="F166" s="154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ht="12.75" customHeight="1">
      <c r="A167" s="138"/>
      <c r="B167" s="153"/>
      <c r="C167" s="153"/>
      <c r="D167" s="153"/>
      <c r="E167" s="154"/>
      <c r="F167" s="154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ht="12.75" customHeight="1">
      <c r="A168" s="138"/>
      <c r="B168" s="153"/>
      <c r="C168" s="153"/>
      <c r="D168" s="153"/>
      <c r="E168" s="154"/>
      <c r="F168" s="154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ht="12.75" customHeight="1">
      <c r="A169" s="138"/>
      <c r="B169" s="153"/>
      <c r="C169" s="153"/>
      <c r="D169" s="153"/>
      <c r="E169" s="154"/>
      <c r="F169" s="154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ht="12.75" customHeight="1">
      <c r="A170" s="138"/>
      <c r="B170" s="153"/>
      <c r="C170" s="153"/>
      <c r="D170" s="153"/>
      <c r="E170" s="154"/>
      <c r="F170" s="154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ht="12.75" customHeight="1">
      <c r="A171" s="138"/>
      <c r="B171" s="153"/>
      <c r="C171" s="153"/>
      <c r="D171" s="153"/>
      <c r="E171" s="154"/>
      <c r="F171" s="154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ht="12.75" customHeight="1">
      <c r="A172" s="138"/>
      <c r="B172" s="153"/>
      <c r="C172" s="153"/>
      <c r="D172" s="153"/>
      <c r="E172" s="154"/>
      <c r="F172" s="154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ht="12.75" customHeight="1">
      <c r="A173" s="138"/>
      <c r="B173" s="153"/>
      <c r="C173" s="153"/>
      <c r="D173" s="153"/>
      <c r="E173" s="154"/>
      <c r="F173" s="154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ht="12.75" customHeight="1">
      <c r="A174" s="138"/>
      <c r="B174" s="153"/>
      <c r="C174" s="153"/>
      <c r="D174" s="153"/>
      <c r="E174" s="154"/>
      <c r="F174" s="154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ht="12.75" customHeight="1">
      <c r="A175" s="138"/>
      <c r="B175" s="153"/>
      <c r="C175" s="153"/>
      <c r="D175" s="153"/>
      <c r="E175" s="154"/>
      <c r="F175" s="154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ht="12.75" customHeight="1">
      <c r="A176" s="138"/>
      <c r="B176" s="153"/>
      <c r="C176" s="153"/>
      <c r="D176" s="153"/>
      <c r="E176" s="154"/>
      <c r="F176" s="154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ht="12.75" customHeight="1">
      <c r="A177" s="138"/>
      <c r="B177" s="153"/>
      <c r="C177" s="153"/>
      <c r="D177" s="153"/>
      <c r="E177" s="154"/>
      <c r="F177" s="154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ht="12.75" customHeight="1">
      <c r="A178" s="138"/>
      <c r="B178" s="153"/>
      <c r="C178" s="153"/>
      <c r="D178" s="153"/>
      <c r="E178" s="154"/>
      <c r="F178" s="154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ht="12.75" customHeight="1">
      <c r="A179" s="138"/>
      <c r="B179" s="153"/>
      <c r="C179" s="153"/>
      <c r="D179" s="153"/>
      <c r="E179" s="154"/>
      <c r="F179" s="154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ht="12.75" customHeight="1">
      <c r="A180" s="138"/>
      <c r="B180" s="153"/>
      <c r="C180" s="153"/>
      <c r="D180" s="153"/>
      <c r="E180" s="154"/>
      <c r="F180" s="154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ht="12.75" customHeight="1">
      <c r="A181" s="138"/>
      <c r="B181" s="153"/>
      <c r="C181" s="153"/>
      <c r="D181" s="153"/>
      <c r="E181" s="154"/>
      <c r="F181" s="154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ht="12.75" customHeight="1">
      <c r="A182" s="138"/>
      <c r="B182" s="153"/>
      <c r="C182" s="153"/>
      <c r="D182" s="153"/>
      <c r="E182" s="154"/>
      <c r="F182" s="154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ht="12.75" customHeight="1">
      <c r="A183" s="138"/>
      <c r="B183" s="153"/>
      <c r="C183" s="153"/>
      <c r="D183" s="153"/>
      <c r="E183" s="154"/>
      <c r="F183" s="154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1:26" ht="12.75" customHeight="1">
      <c r="A184" s="138"/>
      <c r="B184" s="153"/>
      <c r="C184" s="153"/>
      <c r="D184" s="153"/>
      <c r="E184" s="154"/>
      <c r="F184" s="154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1:26" ht="12.75" customHeight="1">
      <c r="A185" s="138"/>
      <c r="B185" s="153"/>
      <c r="C185" s="153"/>
      <c r="D185" s="153"/>
      <c r="E185" s="154"/>
      <c r="F185" s="154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ht="12.75" customHeight="1">
      <c r="A186" s="138"/>
      <c r="B186" s="153"/>
      <c r="C186" s="153"/>
      <c r="D186" s="153"/>
      <c r="E186" s="154"/>
      <c r="F186" s="154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1:26" ht="12.75" customHeight="1">
      <c r="A187" s="138"/>
      <c r="B187" s="153"/>
      <c r="C187" s="153"/>
      <c r="D187" s="153"/>
      <c r="E187" s="154"/>
      <c r="F187" s="154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1:26" ht="12.75" customHeight="1">
      <c r="A188" s="138"/>
      <c r="B188" s="153"/>
      <c r="C188" s="153"/>
      <c r="D188" s="153"/>
      <c r="E188" s="154"/>
      <c r="F188" s="154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ht="12.75" customHeight="1">
      <c r="A189" s="138"/>
      <c r="B189" s="153"/>
      <c r="C189" s="153"/>
      <c r="D189" s="153"/>
      <c r="E189" s="154"/>
      <c r="F189" s="154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ht="12.75" customHeight="1">
      <c r="A190" s="138"/>
      <c r="B190" s="153"/>
      <c r="C190" s="153"/>
      <c r="D190" s="153"/>
      <c r="E190" s="154"/>
      <c r="F190" s="154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ht="12.75" customHeight="1">
      <c r="A191" s="138"/>
      <c r="B191" s="153"/>
      <c r="C191" s="153"/>
      <c r="D191" s="153"/>
      <c r="E191" s="154"/>
      <c r="F191" s="154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ht="12.75" customHeight="1">
      <c r="A192" s="138"/>
      <c r="B192" s="153"/>
      <c r="C192" s="153"/>
      <c r="D192" s="153"/>
      <c r="E192" s="154"/>
      <c r="F192" s="154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ht="12.75" customHeight="1">
      <c r="A193" s="138"/>
      <c r="B193" s="153"/>
      <c r="C193" s="153"/>
      <c r="D193" s="153"/>
      <c r="E193" s="154"/>
      <c r="F193" s="154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ht="12.75" customHeight="1">
      <c r="A194" s="138"/>
      <c r="B194" s="153"/>
      <c r="C194" s="153"/>
      <c r="D194" s="153"/>
      <c r="E194" s="154"/>
      <c r="F194" s="154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ht="12.75" customHeight="1">
      <c r="A195" s="138"/>
      <c r="B195" s="153"/>
      <c r="C195" s="153"/>
      <c r="D195" s="153"/>
      <c r="E195" s="154"/>
      <c r="F195" s="154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ht="12.75" customHeight="1">
      <c r="A196" s="138"/>
      <c r="B196" s="153"/>
      <c r="C196" s="153"/>
      <c r="D196" s="153"/>
      <c r="E196" s="154"/>
      <c r="F196" s="154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ht="12.75" customHeight="1">
      <c r="A197" s="138"/>
      <c r="B197" s="153"/>
      <c r="C197" s="153"/>
      <c r="D197" s="153"/>
      <c r="E197" s="154"/>
      <c r="F197" s="154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ht="12.75" customHeight="1">
      <c r="A198" s="138"/>
      <c r="B198" s="153"/>
      <c r="C198" s="153"/>
      <c r="D198" s="153"/>
      <c r="E198" s="154"/>
      <c r="F198" s="154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ht="12.75" customHeight="1">
      <c r="A199" s="138"/>
      <c r="B199" s="153"/>
      <c r="C199" s="153"/>
      <c r="D199" s="153"/>
      <c r="E199" s="154"/>
      <c r="F199" s="154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ht="12.75" customHeight="1">
      <c r="A200" s="138"/>
      <c r="B200" s="153"/>
      <c r="C200" s="153"/>
      <c r="D200" s="153"/>
      <c r="E200" s="154"/>
      <c r="F200" s="154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ht="12.75" customHeight="1">
      <c r="A201" s="138"/>
      <c r="B201" s="153"/>
      <c r="C201" s="153"/>
      <c r="D201" s="153"/>
      <c r="E201" s="154"/>
      <c r="F201" s="154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ht="12.75" customHeight="1">
      <c r="A202" s="138"/>
      <c r="B202" s="153"/>
      <c r="C202" s="153"/>
      <c r="D202" s="153"/>
      <c r="E202" s="154"/>
      <c r="F202" s="154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1:26" ht="12.75" customHeight="1">
      <c r="A203" s="138"/>
      <c r="B203" s="153"/>
      <c r="C203" s="153"/>
      <c r="D203" s="153"/>
      <c r="E203" s="154"/>
      <c r="F203" s="154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1:26" ht="12.75" customHeight="1">
      <c r="A204" s="138"/>
      <c r="B204" s="153"/>
      <c r="C204" s="153"/>
      <c r="D204" s="153"/>
      <c r="E204" s="154"/>
      <c r="F204" s="154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1:26" ht="12.75" customHeight="1">
      <c r="A205" s="138"/>
      <c r="B205" s="153"/>
      <c r="C205" s="153"/>
      <c r="D205" s="153"/>
      <c r="E205" s="154"/>
      <c r="F205" s="154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1:26" ht="12.75" customHeight="1">
      <c r="A206" s="138"/>
      <c r="B206" s="153"/>
      <c r="C206" s="153"/>
      <c r="D206" s="153"/>
      <c r="E206" s="154"/>
      <c r="F206" s="154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1:26" ht="12.75" customHeight="1">
      <c r="A207" s="138"/>
      <c r="B207" s="153"/>
      <c r="C207" s="153"/>
      <c r="D207" s="153"/>
      <c r="E207" s="154"/>
      <c r="F207" s="154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1:26" ht="12.75" customHeight="1">
      <c r="A208" s="138"/>
      <c r="B208" s="153"/>
      <c r="C208" s="153"/>
      <c r="D208" s="153"/>
      <c r="E208" s="154"/>
      <c r="F208" s="154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ht="12.75" customHeight="1">
      <c r="A209" s="138"/>
      <c r="B209" s="153"/>
      <c r="C209" s="153"/>
      <c r="D209" s="153"/>
      <c r="E209" s="154"/>
      <c r="F209" s="154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ht="12.75" customHeight="1">
      <c r="A210" s="138"/>
      <c r="B210" s="153"/>
      <c r="C210" s="153"/>
      <c r="D210" s="153"/>
      <c r="E210" s="154"/>
      <c r="F210" s="154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ht="12.75" customHeight="1">
      <c r="A211" s="138"/>
      <c r="B211" s="153"/>
      <c r="C211" s="153"/>
      <c r="D211" s="153"/>
      <c r="E211" s="154"/>
      <c r="F211" s="154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ht="12.75" customHeight="1">
      <c r="A212" s="138"/>
      <c r="B212" s="153"/>
      <c r="C212" s="153"/>
      <c r="D212" s="153"/>
      <c r="E212" s="154"/>
      <c r="F212" s="154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1:26" ht="12.75" customHeight="1">
      <c r="A213" s="138"/>
      <c r="B213" s="153"/>
      <c r="C213" s="153"/>
      <c r="D213" s="153"/>
      <c r="E213" s="154"/>
      <c r="F213" s="154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1:26" ht="12.75" customHeight="1">
      <c r="A214" s="138"/>
      <c r="B214" s="153"/>
      <c r="C214" s="153"/>
      <c r="D214" s="153"/>
      <c r="E214" s="154"/>
      <c r="F214" s="154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1:26" ht="12.75" customHeight="1">
      <c r="A215" s="138"/>
      <c r="B215" s="153"/>
      <c r="C215" s="153"/>
      <c r="D215" s="153"/>
      <c r="E215" s="154"/>
      <c r="F215" s="154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1:26" ht="12.75" customHeight="1">
      <c r="A216" s="138"/>
      <c r="B216" s="153"/>
      <c r="C216" s="153"/>
      <c r="D216" s="153"/>
      <c r="E216" s="154"/>
      <c r="F216" s="154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1:26" ht="12.75" customHeight="1">
      <c r="A217" s="138"/>
      <c r="B217" s="153"/>
      <c r="C217" s="153"/>
      <c r="D217" s="153"/>
      <c r="E217" s="154"/>
      <c r="F217" s="154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2.75" customHeight="1">
      <c r="A218" s="138"/>
      <c r="B218" s="153"/>
      <c r="C218" s="153"/>
      <c r="D218" s="153"/>
      <c r="E218" s="154"/>
      <c r="F218" s="154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2.75" customHeight="1">
      <c r="A219" s="138"/>
      <c r="B219" s="153"/>
      <c r="C219" s="153"/>
      <c r="D219" s="153"/>
      <c r="E219" s="154"/>
      <c r="F219" s="154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2.75" customHeight="1">
      <c r="A220" s="138"/>
      <c r="B220" s="153"/>
      <c r="C220" s="153"/>
      <c r="D220" s="153"/>
      <c r="E220" s="154"/>
      <c r="F220" s="154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ht="12.75" customHeight="1">
      <c r="A221" s="138"/>
      <c r="B221" s="153"/>
      <c r="C221" s="153"/>
      <c r="D221" s="153"/>
      <c r="E221" s="154"/>
      <c r="F221" s="154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ht="12.75" customHeight="1">
      <c r="A222" s="138"/>
      <c r="B222" s="153"/>
      <c r="C222" s="153"/>
      <c r="D222" s="153"/>
      <c r="E222" s="154"/>
      <c r="F222" s="154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1:26" ht="12.75" customHeight="1">
      <c r="A223" s="138"/>
      <c r="B223" s="153"/>
      <c r="C223" s="153"/>
      <c r="D223" s="153"/>
      <c r="E223" s="154"/>
      <c r="F223" s="154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1:26" ht="12.75" customHeight="1">
      <c r="A224" s="138"/>
      <c r="B224" s="153"/>
      <c r="C224" s="153"/>
      <c r="D224" s="153"/>
      <c r="E224" s="154"/>
      <c r="F224" s="154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ht="12.75" customHeight="1">
      <c r="A225" s="138"/>
      <c r="B225" s="153"/>
      <c r="C225" s="153"/>
      <c r="D225" s="153"/>
      <c r="E225" s="154"/>
      <c r="F225" s="154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ht="12.75" customHeight="1">
      <c r="A226" s="138"/>
      <c r="B226" s="153"/>
      <c r="C226" s="153"/>
      <c r="D226" s="153"/>
      <c r="E226" s="154"/>
      <c r="F226" s="154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1:26" ht="12.75" customHeight="1">
      <c r="A227" s="138"/>
      <c r="B227" s="153"/>
      <c r="C227" s="153"/>
      <c r="D227" s="153"/>
      <c r="E227" s="154"/>
      <c r="F227" s="154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1:26" ht="12.75" customHeight="1">
      <c r="A228" s="138"/>
      <c r="B228" s="153"/>
      <c r="C228" s="153"/>
      <c r="D228" s="153"/>
      <c r="E228" s="154"/>
      <c r="F228" s="154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1:26" ht="12.75" customHeight="1">
      <c r="A229" s="138"/>
      <c r="B229" s="153"/>
      <c r="C229" s="153"/>
      <c r="D229" s="153"/>
      <c r="E229" s="154"/>
      <c r="F229" s="154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ht="12.75" customHeight="1">
      <c r="A230" s="138"/>
      <c r="B230" s="153"/>
      <c r="C230" s="153"/>
      <c r="D230" s="153"/>
      <c r="E230" s="154"/>
      <c r="F230" s="154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1:26" ht="12.75" customHeight="1">
      <c r="A231" s="138"/>
      <c r="B231" s="153"/>
      <c r="C231" s="153"/>
      <c r="D231" s="153"/>
      <c r="E231" s="154"/>
      <c r="F231" s="154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1:26" ht="12.75" customHeight="1">
      <c r="A232" s="138"/>
      <c r="B232" s="153"/>
      <c r="C232" s="153"/>
      <c r="D232" s="153"/>
      <c r="E232" s="154"/>
      <c r="F232" s="154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1:26" ht="12.75" customHeight="1">
      <c r="A233" s="138"/>
      <c r="B233" s="153"/>
      <c r="C233" s="153"/>
      <c r="D233" s="153"/>
      <c r="E233" s="154"/>
      <c r="F233" s="154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ht="12.75" customHeight="1">
      <c r="A234" s="138"/>
      <c r="B234" s="153"/>
      <c r="C234" s="153"/>
      <c r="D234" s="153"/>
      <c r="E234" s="154"/>
      <c r="F234" s="154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ht="12.75" customHeight="1">
      <c r="A235" s="138"/>
      <c r="B235" s="153"/>
      <c r="C235" s="153"/>
      <c r="D235" s="153"/>
      <c r="E235" s="154"/>
      <c r="F235" s="154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ht="12.75" customHeight="1">
      <c r="A236" s="138"/>
      <c r="B236" s="153"/>
      <c r="C236" s="153"/>
      <c r="D236" s="153"/>
      <c r="E236" s="154"/>
      <c r="F236" s="154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ht="12.75" customHeight="1">
      <c r="A237" s="138"/>
      <c r="B237" s="153"/>
      <c r="C237" s="153"/>
      <c r="D237" s="153"/>
      <c r="E237" s="154"/>
      <c r="F237" s="154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ht="12.75" customHeight="1">
      <c r="A238" s="138"/>
      <c r="B238" s="153"/>
      <c r="C238" s="153"/>
      <c r="D238" s="153"/>
      <c r="E238" s="154"/>
      <c r="F238" s="154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ht="12.75" customHeight="1">
      <c r="A239" s="138"/>
      <c r="B239" s="153"/>
      <c r="C239" s="153"/>
      <c r="D239" s="153"/>
      <c r="E239" s="154"/>
      <c r="F239" s="154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6:F6"/>
    <mergeCell ref="A7:F7"/>
    <mergeCell ref="A8:G8"/>
    <mergeCell ref="A9:G9"/>
    <mergeCell ref="A25:D25"/>
    <mergeCell ref="A26:D26"/>
    <mergeCell ref="A27:G27"/>
    <mergeCell ref="B29:C29"/>
    <mergeCell ref="D29:E29"/>
    <mergeCell ref="F29:G29"/>
    <mergeCell ref="D30:E30"/>
    <mergeCell ref="F30:G30"/>
    <mergeCell ref="A31:E31"/>
    <mergeCell ref="F31:G31"/>
    <mergeCell ref="D35:E35"/>
    <mergeCell ref="A37:F37"/>
    <mergeCell ref="A38:F38"/>
    <mergeCell ref="A39:G39"/>
    <mergeCell ref="B32:C32"/>
    <mergeCell ref="D32:E32"/>
    <mergeCell ref="F32:G32"/>
    <mergeCell ref="D33:E33"/>
    <mergeCell ref="A34:E34"/>
    <mergeCell ref="F34:G34"/>
    <mergeCell ref="B35:C35"/>
  </mergeCell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5" customWidth="1"/>
    <col min="2" max="2" width="10.140625" customWidth="1"/>
    <col min="3" max="3" width="13.42578125" customWidth="1"/>
    <col min="4" max="4" width="12.42578125" customWidth="1"/>
    <col min="5" max="5" width="11.42578125" customWidth="1"/>
    <col min="6" max="6" width="9.42578125" customWidth="1"/>
    <col min="7" max="7" width="16.5703125" customWidth="1"/>
    <col min="8" max="8" width="13" customWidth="1"/>
    <col min="9" max="26" width="8" customWidth="1"/>
  </cols>
  <sheetData>
    <row r="1" spans="1:26" ht="25.5" customHeight="1">
      <c r="A1" s="134" t="s">
        <v>273</v>
      </c>
      <c r="B1" s="135" t="s">
        <v>274</v>
      </c>
      <c r="C1" s="135" t="s">
        <v>275</v>
      </c>
      <c r="D1" s="135" t="s">
        <v>276</v>
      </c>
      <c r="E1" s="135" t="s">
        <v>277</v>
      </c>
      <c r="F1" s="136" t="s">
        <v>278</v>
      </c>
      <c r="G1" s="136" t="s">
        <v>279</v>
      </c>
      <c r="H1" s="137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12.75" customHeight="1">
      <c r="A2" s="139" t="s">
        <v>280</v>
      </c>
      <c r="B2" s="140" t="s">
        <v>281</v>
      </c>
      <c r="C2" s="140">
        <v>1</v>
      </c>
      <c r="D2" s="142">
        <v>20</v>
      </c>
      <c r="E2" s="143">
        <f t="shared" ref="E2:E5" si="0">20/D2*C2</f>
        <v>1</v>
      </c>
      <c r="F2" s="144">
        <v>52.16</v>
      </c>
      <c r="G2" s="145">
        <f t="shared" ref="G2:G5" si="1">F2*E2</f>
        <v>52.16</v>
      </c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ht="38.25" customHeight="1">
      <c r="A3" s="146" t="s">
        <v>282</v>
      </c>
      <c r="B3" s="147" t="s">
        <v>283</v>
      </c>
      <c r="C3" s="147">
        <v>1</v>
      </c>
      <c r="D3" s="148">
        <v>60</v>
      </c>
      <c r="E3" s="143">
        <f t="shared" si="0"/>
        <v>0.33333333333333331</v>
      </c>
      <c r="F3" s="149">
        <v>293.77</v>
      </c>
      <c r="G3" s="145">
        <f t="shared" si="1"/>
        <v>97.923333333333318</v>
      </c>
      <c r="H3" s="137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2.75" customHeight="1">
      <c r="A4" s="139" t="s">
        <v>284</v>
      </c>
      <c r="B4" s="147" t="s">
        <v>281</v>
      </c>
      <c r="C4" s="147">
        <v>1</v>
      </c>
      <c r="D4" s="148">
        <v>60</v>
      </c>
      <c r="E4" s="143">
        <f t="shared" si="0"/>
        <v>0.33333333333333331</v>
      </c>
      <c r="F4" s="149">
        <v>294.92</v>
      </c>
      <c r="G4" s="145">
        <f t="shared" si="1"/>
        <v>98.306666666666672</v>
      </c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12.75" customHeight="1">
      <c r="A5" s="146" t="s">
        <v>285</v>
      </c>
      <c r="B5" s="147" t="s">
        <v>281</v>
      </c>
      <c r="C5" s="147">
        <v>3</v>
      </c>
      <c r="D5" s="148">
        <v>20</v>
      </c>
      <c r="E5" s="143">
        <f t="shared" si="0"/>
        <v>3</v>
      </c>
      <c r="F5" s="149">
        <v>13.71</v>
      </c>
      <c r="G5" s="145">
        <f t="shared" si="1"/>
        <v>41.13</v>
      </c>
      <c r="H5" s="137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2.75" customHeight="1">
      <c r="A6" s="318" t="s">
        <v>286</v>
      </c>
      <c r="B6" s="195"/>
      <c r="C6" s="195"/>
      <c r="D6" s="195"/>
      <c r="E6" s="195"/>
      <c r="F6" s="196"/>
      <c r="G6" s="150">
        <f>SUM(G2:G5)</f>
        <v>289.52</v>
      </c>
      <c r="H6" s="151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12.75" customHeight="1">
      <c r="A7" s="318" t="s">
        <v>287</v>
      </c>
      <c r="B7" s="195"/>
      <c r="C7" s="195"/>
      <c r="D7" s="195"/>
      <c r="E7" s="195"/>
      <c r="F7" s="196"/>
      <c r="G7" s="150">
        <f>G6/20</f>
        <v>14.475999999999999</v>
      </c>
      <c r="H7" s="151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ht="12.75" customHeight="1">
      <c r="A8" s="319" t="s">
        <v>288</v>
      </c>
      <c r="B8" s="189"/>
      <c r="C8" s="189"/>
      <c r="D8" s="189"/>
      <c r="E8" s="189"/>
      <c r="F8" s="189"/>
      <c r="G8" s="189"/>
      <c r="H8" s="152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12.75" customHeight="1">
      <c r="A9" s="319" t="s">
        <v>289</v>
      </c>
      <c r="B9" s="189"/>
      <c r="C9" s="189"/>
      <c r="D9" s="189"/>
      <c r="E9" s="189"/>
      <c r="F9" s="189"/>
      <c r="G9" s="189"/>
      <c r="H9" s="152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12.75" customHeight="1">
      <c r="A10" s="138"/>
      <c r="B10" s="153"/>
      <c r="C10" s="153"/>
      <c r="D10" s="153"/>
      <c r="E10" s="154"/>
      <c r="F10" s="154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25.5" customHeight="1">
      <c r="A11" s="155" t="s">
        <v>320</v>
      </c>
      <c r="B11" s="135" t="s">
        <v>274</v>
      </c>
      <c r="C11" s="135" t="s">
        <v>291</v>
      </c>
      <c r="D11" s="136" t="s">
        <v>292</v>
      </c>
      <c r="E11" s="136" t="s">
        <v>293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ht="25.5" customHeight="1">
      <c r="A12" s="156" t="s">
        <v>294</v>
      </c>
      <c r="B12" s="147" t="s">
        <v>281</v>
      </c>
      <c r="C12" s="157">
        <v>8</v>
      </c>
      <c r="D12" s="158">
        <v>113.26</v>
      </c>
      <c r="E12" s="159">
        <f t="shared" ref="E12:E24" si="2">C12*D12</f>
        <v>906.08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ht="25.5" customHeight="1">
      <c r="A13" s="156" t="s">
        <v>295</v>
      </c>
      <c r="B13" s="147" t="s">
        <v>281</v>
      </c>
      <c r="C13" s="157">
        <v>2</v>
      </c>
      <c r="D13" s="158">
        <v>127.87</v>
      </c>
      <c r="E13" s="159">
        <f t="shared" si="2"/>
        <v>255.74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ht="25.5" customHeight="1">
      <c r="A14" s="156" t="s">
        <v>296</v>
      </c>
      <c r="B14" s="147" t="s">
        <v>281</v>
      </c>
      <c r="C14" s="157">
        <v>6</v>
      </c>
      <c r="D14" s="158">
        <v>76.63</v>
      </c>
      <c r="E14" s="159">
        <f t="shared" si="2"/>
        <v>459.78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ht="25.5" customHeight="1">
      <c r="A15" s="156" t="s">
        <v>297</v>
      </c>
      <c r="B15" s="147" t="s">
        <v>281</v>
      </c>
      <c r="C15" s="157">
        <v>8</v>
      </c>
      <c r="D15" s="158">
        <v>83.29</v>
      </c>
      <c r="E15" s="159">
        <f t="shared" si="2"/>
        <v>666.32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25.5" customHeight="1">
      <c r="A16" s="156" t="s">
        <v>298</v>
      </c>
      <c r="B16" s="147" t="s">
        <v>281</v>
      </c>
      <c r="C16" s="157">
        <v>4</v>
      </c>
      <c r="D16" s="158">
        <v>111.54</v>
      </c>
      <c r="E16" s="159">
        <f t="shared" si="2"/>
        <v>446.16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ht="12.75" customHeight="1">
      <c r="A17" s="160" t="s">
        <v>299</v>
      </c>
      <c r="B17" s="147" t="s">
        <v>281</v>
      </c>
      <c r="C17" s="157">
        <v>4</v>
      </c>
      <c r="D17" s="158">
        <v>88.9</v>
      </c>
      <c r="E17" s="159">
        <f t="shared" si="2"/>
        <v>355.6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ht="12.75" customHeight="1">
      <c r="A18" s="160" t="s">
        <v>300</v>
      </c>
      <c r="B18" s="147" t="s">
        <v>281</v>
      </c>
      <c r="C18" s="157">
        <v>16</v>
      </c>
      <c r="D18" s="158">
        <v>9.93</v>
      </c>
      <c r="E18" s="159">
        <f t="shared" si="2"/>
        <v>158.88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ht="12.75" customHeight="1">
      <c r="A19" s="160" t="s">
        <v>301</v>
      </c>
      <c r="B19" s="147" t="s">
        <v>281</v>
      </c>
      <c r="C19" s="157">
        <v>8</v>
      </c>
      <c r="D19" s="158">
        <v>30.03</v>
      </c>
      <c r="E19" s="159">
        <f t="shared" si="2"/>
        <v>240.24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12.75" customHeight="1">
      <c r="A20" s="160" t="s">
        <v>302</v>
      </c>
      <c r="B20" s="147" t="s">
        <v>281</v>
      </c>
      <c r="C20" s="157">
        <v>2</v>
      </c>
      <c r="D20" s="158">
        <v>46.57</v>
      </c>
      <c r="E20" s="159">
        <f t="shared" si="2"/>
        <v>93.14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12.75" customHeight="1">
      <c r="A21" s="160" t="s">
        <v>303</v>
      </c>
      <c r="B21" s="147" t="s">
        <v>281</v>
      </c>
      <c r="C21" s="157">
        <v>4</v>
      </c>
      <c r="D21" s="158">
        <v>39.29</v>
      </c>
      <c r="E21" s="159">
        <f t="shared" si="2"/>
        <v>157.16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ht="12.75" customHeight="1">
      <c r="A22" s="160" t="s">
        <v>304</v>
      </c>
      <c r="B22" s="147" t="s">
        <v>281</v>
      </c>
      <c r="C22" s="157">
        <v>2</v>
      </c>
      <c r="D22" s="158">
        <v>42.96</v>
      </c>
      <c r="E22" s="159">
        <f t="shared" si="2"/>
        <v>85.92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12.75" customHeight="1">
      <c r="A23" s="160" t="s">
        <v>305</v>
      </c>
      <c r="B23" s="147" t="s">
        <v>281</v>
      </c>
      <c r="C23" s="157">
        <v>2</v>
      </c>
      <c r="D23" s="158">
        <v>30.64</v>
      </c>
      <c r="E23" s="159">
        <f t="shared" si="2"/>
        <v>61.28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ht="12.75" customHeight="1">
      <c r="A24" s="161" t="s">
        <v>306</v>
      </c>
      <c r="B24" s="147" t="s">
        <v>281</v>
      </c>
      <c r="C24" s="157">
        <v>40</v>
      </c>
      <c r="D24" s="158">
        <v>2.66</v>
      </c>
      <c r="E24" s="159">
        <f t="shared" si="2"/>
        <v>106.4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ht="12.75" customHeight="1">
      <c r="A25" s="318" t="s">
        <v>307</v>
      </c>
      <c r="B25" s="195"/>
      <c r="C25" s="195"/>
      <c r="D25" s="196"/>
      <c r="E25" s="162">
        <f>SUM(E12:E24)</f>
        <v>3992.7000000000003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ht="12.75" customHeight="1">
      <c r="A26" s="318" t="s">
        <v>308</v>
      </c>
      <c r="B26" s="195"/>
      <c r="C26" s="195"/>
      <c r="D26" s="196"/>
      <c r="E26" s="162">
        <f>E25/20</f>
        <v>199.63500000000002</v>
      </c>
      <c r="F26" s="154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ht="12.75" customHeight="1">
      <c r="A27" s="319"/>
      <c r="B27" s="189"/>
      <c r="C27" s="189"/>
      <c r="D27" s="189"/>
      <c r="E27" s="189"/>
      <c r="F27" s="189"/>
      <c r="G27" s="189"/>
      <c r="H27" s="152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12.75" customHeight="1">
      <c r="A28" s="138"/>
      <c r="B28" s="153"/>
      <c r="C28" s="153"/>
      <c r="D28" s="153"/>
      <c r="E28" s="154"/>
      <c r="F28" s="154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ht="38.25" customHeight="1">
      <c r="A29" s="163" t="s">
        <v>310</v>
      </c>
      <c r="B29" s="320" t="s">
        <v>311</v>
      </c>
      <c r="C29" s="196"/>
      <c r="D29" s="320" t="s">
        <v>312</v>
      </c>
      <c r="E29" s="196"/>
      <c r="F29" s="321" t="s">
        <v>313</v>
      </c>
      <c r="G29" s="196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ht="12.75" customHeight="1">
      <c r="A30" s="164" t="s">
        <v>314</v>
      </c>
      <c r="B30" s="164"/>
      <c r="C30" s="164">
        <f>G6</f>
        <v>289.52</v>
      </c>
      <c r="D30" s="314">
        <f>C30/20</f>
        <v>14.475999999999999</v>
      </c>
      <c r="E30" s="196"/>
      <c r="F30" s="313">
        <f>D30/G38</f>
        <v>7.2379999999999995</v>
      </c>
      <c r="G30" s="196"/>
      <c r="H30" s="165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ht="12.75" customHeight="1">
      <c r="A31" s="315"/>
      <c r="B31" s="195"/>
      <c r="C31" s="195"/>
      <c r="D31" s="195"/>
      <c r="E31" s="196"/>
      <c r="F31" s="316"/>
      <c r="G31" s="196"/>
      <c r="H31" s="165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12.75" customHeight="1">
      <c r="A32" s="166" t="s">
        <v>315</v>
      </c>
      <c r="B32" s="312" t="s">
        <v>311</v>
      </c>
      <c r="C32" s="196"/>
      <c r="D32" s="312" t="s">
        <v>312</v>
      </c>
      <c r="E32" s="196"/>
      <c r="F32" s="313"/>
      <c r="G32" s="196"/>
      <c r="H32" s="165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ht="12.75" customHeight="1">
      <c r="A33" s="167" t="s">
        <v>188</v>
      </c>
      <c r="B33" s="167"/>
      <c r="C33" s="167">
        <f>E25</f>
        <v>3992.7000000000003</v>
      </c>
      <c r="D33" s="314">
        <f>C33/20</f>
        <v>199.63500000000002</v>
      </c>
      <c r="E33" s="196"/>
      <c r="F33" s="168"/>
      <c r="G33" s="168">
        <f>D33/G38</f>
        <v>99.81750000000001</v>
      </c>
      <c r="H33" s="165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12.75" customHeight="1">
      <c r="A34" s="315"/>
      <c r="B34" s="195"/>
      <c r="C34" s="195"/>
      <c r="D34" s="195"/>
      <c r="E34" s="196"/>
      <c r="F34" s="316"/>
      <c r="G34" s="196"/>
      <c r="H34" s="165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ht="12.75" customHeight="1">
      <c r="A35" s="150" t="s">
        <v>316</v>
      </c>
      <c r="B35" s="317">
        <f>SUM(C30,C33)</f>
        <v>4282.22</v>
      </c>
      <c r="C35" s="196"/>
      <c r="D35" s="317">
        <f>B35/12</f>
        <v>356.85166666666669</v>
      </c>
      <c r="E35" s="196"/>
      <c r="F35" s="150"/>
      <c r="G35" s="169">
        <f>SUM(F30,G33)</f>
        <v>107.05550000000001</v>
      </c>
      <c r="H35" s="165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ht="12.75" customHeight="1">
      <c r="A36" s="18"/>
      <c r="B36" s="170"/>
      <c r="C36" s="170"/>
      <c r="D36" s="170"/>
      <c r="E36" s="170"/>
      <c r="F36" s="158"/>
      <c r="G36" s="171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19.5" customHeight="1">
      <c r="A37" s="311" t="s">
        <v>317</v>
      </c>
      <c r="B37" s="195"/>
      <c r="C37" s="195"/>
      <c r="D37" s="195"/>
      <c r="E37" s="195"/>
      <c r="F37" s="196"/>
      <c r="G37" s="172">
        <v>1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19.5" customHeight="1">
      <c r="A38" s="311" t="s">
        <v>318</v>
      </c>
      <c r="B38" s="195"/>
      <c r="C38" s="195"/>
      <c r="D38" s="195"/>
      <c r="E38" s="195"/>
      <c r="F38" s="196"/>
      <c r="G38" s="172">
        <v>2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ht="27" customHeight="1">
      <c r="A39" s="233" t="s">
        <v>319</v>
      </c>
      <c r="B39" s="195"/>
      <c r="C39" s="195"/>
      <c r="D39" s="195"/>
      <c r="E39" s="195"/>
      <c r="F39" s="195"/>
      <c r="G39" s="196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ht="12.75" customHeight="1">
      <c r="A40" s="138"/>
      <c r="B40" s="153"/>
      <c r="C40" s="153"/>
      <c r="D40" s="153"/>
      <c r="E40" s="154"/>
      <c r="F40" s="154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12.75" customHeight="1">
      <c r="A41" s="138"/>
      <c r="B41" s="153"/>
      <c r="C41" s="153"/>
      <c r="D41" s="153"/>
      <c r="E41" s="154"/>
      <c r="F41" s="154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ht="12.75" customHeight="1">
      <c r="A42" s="138"/>
      <c r="B42" s="153"/>
      <c r="C42" s="153"/>
      <c r="D42" s="153"/>
      <c r="E42" s="154"/>
      <c r="F42" s="154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 ht="12.75" customHeight="1">
      <c r="A43" s="138"/>
      <c r="B43" s="153"/>
      <c r="C43" s="153"/>
      <c r="D43" s="153"/>
      <c r="E43" s="154"/>
      <c r="F43" s="154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12.75" customHeight="1">
      <c r="A44" s="138"/>
      <c r="B44" s="153"/>
      <c r="C44" s="153"/>
      <c r="D44" s="153"/>
      <c r="E44" s="154"/>
      <c r="F44" s="154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ht="12.75" customHeight="1">
      <c r="A45" s="138"/>
      <c r="B45" s="153"/>
      <c r="C45" s="153"/>
      <c r="D45" s="153"/>
      <c r="E45" s="154"/>
      <c r="F45" s="154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ht="12.75" customHeight="1">
      <c r="A46" s="138"/>
      <c r="B46" s="153"/>
      <c r="C46" s="153"/>
      <c r="D46" s="153"/>
      <c r="E46" s="154"/>
      <c r="F46" s="154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ht="12.75" customHeight="1">
      <c r="A47" s="138"/>
      <c r="B47" s="153"/>
      <c r="C47" s="153"/>
      <c r="D47" s="153"/>
      <c r="E47" s="154"/>
      <c r="F47" s="154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2.75" customHeight="1">
      <c r="A48" s="138"/>
      <c r="B48" s="153"/>
      <c r="C48" s="153"/>
      <c r="D48" s="153"/>
      <c r="E48" s="154"/>
      <c r="F48" s="154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12.75" customHeight="1">
      <c r="A49" s="138"/>
      <c r="B49" s="153"/>
      <c r="C49" s="153"/>
      <c r="D49" s="153"/>
      <c r="E49" s="154"/>
      <c r="F49" s="154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2.75" customHeight="1">
      <c r="A50" s="138"/>
      <c r="B50" s="153"/>
      <c r="C50" s="153"/>
      <c r="D50" s="153"/>
      <c r="E50" s="154"/>
      <c r="F50" s="154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2.75" customHeight="1">
      <c r="A51" s="138"/>
      <c r="B51" s="153"/>
      <c r="C51" s="153"/>
      <c r="D51" s="153"/>
      <c r="E51" s="154"/>
      <c r="F51" s="154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 ht="12.75" customHeight="1">
      <c r="A52" s="138"/>
      <c r="B52" s="153"/>
      <c r="C52" s="153"/>
      <c r="D52" s="153"/>
      <c r="E52" s="154"/>
      <c r="F52" s="154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12.75" customHeight="1">
      <c r="A53" s="138"/>
      <c r="B53" s="153"/>
      <c r="C53" s="153"/>
      <c r="D53" s="153"/>
      <c r="E53" s="154"/>
      <c r="F53" s="154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 ht="12.75" customHeight="1">
      <c r="A54" s="138"/>
      <c r="B54" s="153"/>
      <c r="C54" s="153"/>
      <c r="D54" s="153"/>
      <c r="E54" s="154"/>
      <c r="F54" s="154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2.75" customHeight="1">
      <c r="A55" s="138"/>
      <c r="B55" s="153"/>
      <c r="C55" s="153"/>
      <c r="D55" s="153"/>
      <c r="E55" s="154"/>
      <c r="F55" s="154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2.75" customHeight="1">
      <c r="A56" s="138"/>
      <c r="B56" s="153"/>
      <c r="C56" s="153"/>
      <c r="D56" s="153"/>
      <c r="E56" s="154"/>
      <c r="F56" s="154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2.75" customHeight="1">
      <c r="A57" s="138"/>
      <c r="B57" s="153"/>
      <c r="C57" s="153"/>
      <c r="D57" s="153"/>
      <c r="E57" s="154"/>
      <c r="F57" s="154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2.75" customHeight="1">
      <c r="A58" s="138"/>
      <c r="B58" s="153"/>
      <c r="C58" s="153"/>
      <c r="D58" s="153"/>
      <c r="E58" s="154"/>
      <c r="F58" s="154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2.75" customHeight="1">
      <c r="A59" s="138"/>
      <c r="B59" s="153"/>
      <c r="C59" s="153"/>
      <c r="D59" s="153"/>
      <c r="E59" s="154"/>
      <c r="F59" s="154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12.75" customHeight="1">
      <c r="A60" s="138"/>
      <c r="B60" s="153"/>
      <c r="C60" s="153"/>
      <c r="D60" s="153"/>
      <c r="E60" s="154"/>
      <c r="F60" s="154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12.75" customHeight="1">
      <c r="A61" s="138"/>
      <c r="B61" s="153"/>
      <c r="C61" s="153"/>
      <c r="D61" s="153"/>
      <c r="E61" s="154"/>
      <c r="F61" s="154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2.75" customHeight="1">
      <c r="A62" s="138"/>
      <c r="B62" s="153"/>
      <c r="C62" s="153"/>
      <c r="D62" s="153"/>
      <c r="E62" s="154"/>
      <c r="F62" s="154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12.75" customHeight="1">
      <c r="A63" s="138"/>
      <c r="B63" s="153"/>
      <c r="C63" s="153"/>
      <c r="D63" s="153"/>
      <c r="E63" s="154"/>
      <c r="F63" s="154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2.75" customHeight="1">
      <c r="A64" s="138"/>
      <c r="B64" s="153"/>
      <c r="C64" s="153"/>
      <c r="D64" s="153"/>
      <c r="E64" s="154"/>
      <c r="F64" s="154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 ht="12.75" customHeight="1">
      <c r="A65" s="138"/>
      <c r="B65" s="153"/>
      <c r="C65" s="153"/>
      <c r="D65" s="153"/>
      <c r="E65" s="154"/>
      <c r="F65" s="154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12.75" customHeight="1">
      <c r="A66" s="138"/>
      <c r="B66" s="153"/>
      <c r="C66" s="153"/>
      <c r="D66" s="153"/>
      <c r="E66" s="154"/>
      <c r="F66" s="154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2.75" customHeight="1">
      <c r="A67" s="138"/>
      <c r="B67" s="153"/>
      <c r="C67" s="153"/>
      <c r="D67" s="153"/>
      <c r="E67" s="154"/>
      <c r="F67" s="154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12.75" customHeight="1">
      <c r="A68" s="138"/>
      <c r="B68" s="153"/>
      <c r="C68" s="153"/>
      <c r="D68" s="153"/>
      <c r="E68" s="154"/>
      <c r="F68" s="154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12.75" customHeight="1">
      <c r="A69" s="138"/>
      <c r="B69" s="153"/>
      <c r="C69" s="153"/>
      <c r="D69" s="153"/>
      <c r="E69" s="154"/>
      <c r="F69" s="154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2.75" customHeight="1">
      <c r="A70" s="138"/>
      <c r="B70" s="153"/>
      <c r="C70" s="153"/>
      <c r="D70" s="153"/>
      <c r="E70" s="154"/>
      <c r="F70" s="154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ht="12.75" customHeight="1">
      <c r="A71" s="138"/>
      <c r="B71" s="153"/>
      <c r="C71" s="153"/>
      <c r="D71" s="153"/>
      <c r="E71" s="154"/>
      <c r="F71" s="154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12.75" customHeight="1">
      <c r="A72" s="138"/>
      <c r="B72" s="153"/>
      <c r="C72" s="153"/>
      <c r="D72" s="153"/>
      <c r="E72" s="154"/>
      <c r="F72" s="154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 ht="12.75" customHeight="1">
      <c r="A73" s="138"/>
      <c r="B73" s="153"/>
      <c r="C73" s="153"/>
      <c r="D73" s="153"/>
      <c r="E73" s="154"/>
      <c r="F73" s="154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 ht="12.75" customHeight="1">
      <c r="A74" s="138"/>
      <c r="B74" s="153"/>
      <c r="C74" s="153"/>
      <c r="D74" s="153"/>
      <c r="E74" s="154"/>
      <c r="F74" s="154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12.75" customHeight="1">
      <c r="A75" s="138"/>
      <c r="B75" s="153"/>
      <c r="C75" s="153"/>
      <c r="D75" s="153"/>
      <c r="E75" s="154"/>
      <c r="F75" s="154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12.75" customHeight="1">
      <c r="A76" s="138"/>
      <c r="B76" s="153"/>
      <c r="C76" s="153"/>
      <c r="D76" s="153"/>
      <c r="E76" s="154"/>
      <c r="F76" s="154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12.75" customHeight="1">
      <c r="A77" s="138"/>
      <c r="B77" s="153"/>
      <c r="C77" s="153"/>
      <c r="D77" s="153"/>
      <c r="E77" s="154"/>
      <c r="F77" s="154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12.75" customHeight="1">
      <c r="A78" s="138"/>
      <c r="B78" s="153"/>
      <c r="C78" s="153"/>
      <c r="D78" s="153"/>
      <c r="E78" s="154"/>
      <c r="F78" s="154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12.75" customHeight="1">
      <c r="A79" s="138"/>
      <c r="B79" s="153"/>
      <c r="C79" s="153"/>
      <c r="D79" s="153"/>
      <c r="E79" s="154"/>
      <c r="F79" s="154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12.75" customHeight="1">
      <c r="A80" s="138"/>
      <c r="B80" s="153"/>
      <c r="C80" s="153"/>
      <c r="D80" s="153"/>
      <c r="E80" s="154"/>
      <c r="F80" s="154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2.75" customHeight="1">
      <c r="A81" s="138"/>
      <c r="B81" s="153"/>
      <c r="C81" s="153"/>
      <c r="D81" s="153"/>
      <c r="E81" s="154"/>
      <c r="F81" s="154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 ht="12.75" customHeight="1">
      <c r="A82" s="138"/>
      <c r="B82" s="153"/>
      <c r="C82" s="153"/>
      <c r="D82" s="153"/>
      <c r="E82" s="154"/>
      <c r="F82" s="154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 ht="12.75" customHeight="1">
      <c r="A83" s="138"/>
      <c r="B83" s="153"/>
      <c r="C83" s="153"/>
      <c r="D83" s="153"/>
      <c r="E83" s="154"/>
      <c r="F83" s="154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 ht="12.75" customHeight="1">
      <c r="A84" s="138"/>
      <c r="B84" s="153"/>
      <c r="C84" s="153"/>
      <c r="D84" s="153"/>
      <c r="E84" s="154"/>
      <c r="F84" s="154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 ht="12.75" customHeight="1">
      <c r="A85" s="138"/>
      <c r="B85" s="153"/>
      <c r="C85" s="153"/>
      <c r="D85" s="153"/>
      <c r="E85" s="154"/>
      <c r="F85" s="154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12.75" customHeight="1">
      <c r="A86" s="138"/>
      <c r="B86" s="153"/>
      <c r="C86" s="153"/>
      <c r="D86" s="153"/>
      <c r="E86" s="154"/>
      <c r="F86" s="154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12.75" customHeight="1">
      <c r="A87" s="138"/>
      <c r="B87" s="153"/>
      <c r="C87" s="153"/>
      <c r="D87" s="153"/>
      <c r="E87" s="154"/>
      <c r="F87" s="154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12.75" customHeight="1">
      <c r="A88" s="138"/>
      <c r="B88" s="153"/>
      <c r="C88" s="153"/>
      <c r="D88" s="153"/>
      <c r="E88" s="154"/>
      <c r="F88" s="154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ht="12.75" customHeight="1">
      <c r="A89" s="138"/>
      <c r="B89" s="153"/>
      <c r="C89" s="153"/>
      <c r="D89" s="153"/>
      <c r="E89" s="154"/>
      <c r="F89" s="154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12.75" customHeight="1">
      <c r="A90" s="138"/>
      <c r="B90" s="153"/>
      <c r="C90" s="153"/>
      <c r="D90" s="153"/>
      <c r="E90" s="154"/>
      <c r="F90" s="154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 ht="12.75" customHeight="1">
      <c r="A91" s="138"/>
      <c r="B91" s="153"/>
      <c r="C91" s="153"/>
      <c r="D91" s="153"/>
      <c r="E91" s="154"/>
      <c r="F91" s="154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 ht="12.75" customHeight="1">
      <c r="A92" s="138"/>
      <c r="B92" s="153"/>
      <c r="C92" s="153"/>
      <c r="D92" s="153"/>
      <c r="E92" s="154"/>
      <c r="F92" s="154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12.75" customHeight="1">
      <c r="A93" s="138"/>
      <c r="B93" s="153"/>
      <c r="C93" s="153"/>
      <c r="D93" s="153"/>
      <c r="E93" s="154"/>
      <c r="F93" s="154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12.75" customHeight="1">
      <c r="A94" s="138"/>
      <c r="B94" s="153"/>
      <c r="C94" s="153"/>
      <c r="D94" s="153"/>
      <c r="E94" s="154"/>
      <c r="F94" s="154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12.75" customHeight="1">
      <c r="A95" s="138"/>
      <c r="B95" s="153"/>
      <c r="C95" s="153"/>
      <c r="D95" s="153"/>
      <c r="E95" s="154"/>
      <c r="F95" s="154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12.75" customHeight="1">
      <c r="A96" s="138"/>
      <c r="B96" s="153"/>
      <c r="C96" s="153"/>
      <c r="D96" s="153"/>
      <c r="E96" s="154"/>
      <c r="F96" s="154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12.75" customHeight="1">
      <c r="A97" s="138"/>
      <c r="B97" s="153"/>
      <c r="C97" s="153"/>
      <c r="D97" s="153"/>
      <c r="E97" s="154"/>
      <c r="F97" s="154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12.75" customHeight="1">
      <c r="A98" s="138"/>
      <c r="B98" s="153"/>
      <c r="C98" s="153"/>
      <c r="D98" s="153"/>
      <c r="E98" s="154"/>
      <c r="F98" s="154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ht="12.75" customHeight="1">
      <c r="A99" s="138"/>
      <c r="B99" s="153"/>
      <c r="C99" s="153"/>
      <c r="D99" s="153"/>
      <c r="E99" s="154"/>
      <c r="F99" s="154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ht="12.75" customHeight="1">
      <c r="A100" s="138"/>
      <c r="B100" s="153"/>
      <c r="C100" s="153"/>
      <c r="D100" s="153"/>
      <c r="E100" s="154"/>
      <c r="F100" s="154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12.75" customHeight="1">
      <c r="A101" s="138"/>
      <c r="B101" s="153"/>
      <c r="C101" s="153"/>
      <c r="D101" s="153"/>
      <c r="E101" s="154"/>
      <c r="F101" s="154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12.75" customHeight="1">
      <c r="A102" s="138"/>
      <c r="B102" s="153"/>
      <c r="C102" s="153"/>
      <c r="D102" s="153"/>
      <c r="E102" s="154"/>
      <c r="F102" s="154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12.75" customHeight="1">
      <c r="A103" s="138"/>
      <c r="B103" s="153"/>
      <c r="C103" s="153"/>
      <c r="D103" s="153"/>
      <c r="E103" s="154"/>
      <c r="F103" s="154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12.75" customHeight="1">
      <c r="A104" s="138"/>
      <c r="B104" s="153"/>
      <c r="C104" s="153"/>
      <c r="D104" s="153"/>
      <c r="E104" s="154"/>
      <c r="F104" s="154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ht="12.75" customHeight="1">
      <c r="A105" s="138"/>
      <c r="B105" s="153"/>
      <c r="C105" s="153"/>
      <c r="D105" s="153"/>
      <c r="E105" s="154"/>
      <c r="F105" s="154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2.75" customHeight="1">
      <c r="A106" s="138"/>
      <c r="B106" s="153"/>
      <c r="C106" s="153"/>
      <c r="D106" s="153"/>
      <c r="E106" s="154"/>
      <c r="F106" s="154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ht="12.75" customHeight="1">
      <c r="A107" s="138"/>
      <c r="B107" s="153"/>
      <c r="C107" s="153"/>
      <c r="D107" s="153"/>
      <c r="E107" s="154"/>
      <c r="F107" s="154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12.75" customHeight="1">
      <c r="A108" s="138"/>
      <c r="B108" s="153"/>
      <c r="C108" s="153"/>
      <c r="D108" s="153"/>
      <c r="E108" s="154"/>
      <c r="F108" s="154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2.75" customHeight="1">
      <c r="A109" s="138"/>
      <c r="B109" s="153"/>
      <c r="C109" s="153"/>
      <c r="D109" s="153"/>
      <c r="E109" s="154"/>
      <c r="F109" s="154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12.75" customHeight="1">
      <c r="A110" s="138"/>
      <c r="B110" s="153"/>
      <c r="C110" s="153"/>
      <c r="D110" s="153"/>
      <c r="E110" s="154"/>
      <c r="F110" s="154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ht="12.75" customHeight="1">
      <c r="A111" s="138"/>
      <c r="B111" s="153"/>
      <c r="C111" s="153"/>
      <c r="D111" s="153"/>
      <c r="E111" s="154"/>
      <c r="F111" s="154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12.75" customHeight="1">
      <c r="A112" s="138"/>
      <c r="B112" s="153"/>
      <c r="C112" s="153"/>
      <c r="D112" s="153"/>
      <c r="E112" s="154"/>
      <c r="F112" s="154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12.75" customHeight="1">
      <c r="A113" s="138"/>
      <c r="B113" s="153"/>
      <c r="C113" s="153"/>
      <c r="D113" s="153"/>
      <c r="E113" s="154"/>
      <c r="F113" s="154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12.75" customHeight="1">
      <c r="A114" s="138"/>
      <c r="B114" s="153"/>
      <c r="C114" s="153"/>
      <c r="D114" s="153"/>
      <c r="E114" s="154"/>
      <c r="F114" s="154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ht="12.75" customHeight="1">
      <c r="A115" s="138"/>
      <c r="B115" s="153"/>
      <c r="C115" s="153"/>
      <c r="D115" s="153"/>
      <c r="E115" s="154"/>
      <c r="F115" s="154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ht="12.75" customHeight="1">
      <c r="A116" s="138"/>
      <c r="B116" s="153"/>
      <c r="C116" s="153"/>
      <c r="D116" s="153"/>
      <c r="E116" s="154"/>
      <c r="F116" s="154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ht="12.75" customHeight="1">
      <c r="A117" s="138"/>
      <c r="B117" s="153"/>
      <c r="C117" s="153"/>
      <c r="D117" s="153"/>
      <c r="E117" s="154"/>
      <c r="F117" s="154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ht="12.75" customHeight="1">
      <c r="A118" s="138"/>
      <c r="B118" s="153"/>
      <c r="C118" s="153"/>
      <c r="D118" s="153"/>
      <c r="E118" s="154"/>
      <c r="F118" s="154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ht="12.75" customHeight="1">
      <c r="A119" s="138"/>
      <c r="B119" s="153"/>
      <c r="C119" s="153"/>
      <c r="D119" s="153"/>
      <c r="E119" s="154"/>
      <c r="F119" s="154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ht="12.75" customHeight="1">
      <c r="A120" s="138"/>
      <c r="B120" s="153"/>
      <c r="C120" s="153"/>
      <c r="D120" s="153"/>
      <c r="E120" s="154"/>
      <c r="F120" s="154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ht="12.75" customHeight="1">
      <c r="A121" s="138"/>
      <c r="B121" s="153"/>
      <c r="C121" s="153"/>
      <c r="D121" s="153"/>
      <c r="E121" s="154"/>
      <c r="F121" s="154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ht="12.75" customHeight="1">
      <c r="A122" s="138"/>
      <c r="B122" s="153"/>
      <c r="C122" s="153"/>
      <c r="D122" s="153"/>
      <c r="E122" s="154"/>
      <c r="F122" s="154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12.75" customHeight="1">
      <c r="A123" s="138"/>
      <c r="B123" s="153"/>
      <c r="C123" s="153"/>
      <c r="D123" s="153"/>
      <c r="E123" s="154"/>
      <c r="F123" s="154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12.75" customHeight="1">
      <c r="A124" s="138"/>
      <c r="B124" s="153"/>
      <c r="C124" s="153"/>
      <c r="D124" s="153"/>
      <c r="E124" s="154"/>
      <c r="F124" s="154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ht="12.75" customHeight="1">
      <c r="A125" s="138"/>
      <c r="B125" s="153"/>
      <c r="C125" s="153"/>
      <c r="D125" s="153"/>
      <c r="E125" s="154"/>
      <c r="F125" s="154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12.75" customHeight="1">
      <c r="A126" s="138"/>
      <c r="B126" s="153"/>
      <c r="C126" s="153"/>
      <c r="D126" s="153"/>
      <c r="E126" s="154"/>
      <c r="F126" s="154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12.75" customHeight="1">
      <c r="A127" s="138"/>
      <c r="B127" s="153"/>
      <c r="C127" s="153"/>
      <c r="D127" s="153"/>
      <c r="E127" s="154"/>
      <c r="F127" s="154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12.75" customHeight="1">
      <c r="A128" s="138"/>
      <c r="B128" s="153"/>
      <c r="C128" s="153"/>
      <c r="D128" s="153"/>
      <c r="E128" s="154"/>
      <c r="F128" s="154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12.75" customHeight="1">
      <c r="A129" s="138"/>
      <c r="B129" s="153"/>
      <c r="C129" s="153"/>
      <c r="D129" s="153"/>
      <c r="E129" s="154"/>
      <c r="F129" s="154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ht="12.75" customHeight="1">
      <c r="A130" s="138"/>
      <c r="B130" s="153"/>
      <c r="C130" s="153"/>
      <c r="D130" s="153"/>
      <c r="E130" s="154"/>
      <c r="F130" s="154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 ht="12.75" customHeight="1">
      <c r="A131" s="138"/>
      <c r="B131" s="153"/>
      <c r="C131" s="153"/>
      <c r="D131" s="153"/>
      <c r="E131" s="154"/>
      <c r="F131" s="154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2.75" customHeight="1">
      <c r="A132" s="138"/>
      <c r="B132" s="153"/>
      <c r="C132" s="153"/>
      <c r="D132" s="153"/>
      <c r="E132" s="154"/>
      <c r="F132" s="154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 ht="12.75" customHeight="1">
      <c r="A133" s="138"/>
      <c r="B133" s="153"/>
      <c r="C133" s="153"/>
      <c r="D133" s="153"/>
      <c r="E133" s="154"/>
      <c r="F133" s="154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 ht="12.75" customHeight="1">
      <c r="A134" s="138"/>
      <c r="B134" s="153"/>
      <c r="C134" s="153"/>
      <c r="D134" s="153"/>
      <c r="E134" s="154"/>
      <c r="F134" s="154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 ht="12.75" customHeight="1">
      <c r="A135" s="138"/>
      <c r="B135" s="153"/>
      <c r="C135" s="153"/>
      <c r="D135" s="153"/>
      <c r="E135" s="154"/>
      <c r="F135" s="154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 ht="12.75" customHeight="1">
      <c r="A136" s="138"/>
      <c r="B136" s="153"/>
      <c r="C136" s="153"/>
      <c r="D136" s="153"/>
      <c r="E136" s="154"/>
      <c r="F136" s="154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 ht="12.75" customHeight="1">
      <c r="A137" s="138"/>
      <c r="B137" s="153"/>
      <c r="C137" s="153"/>
      <c r="D137" s="153"/>
      <c r="E137" s="154"/>
      <c r="F137" s="154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 ht="12.75" customHeight="1">
      <c r="A138" s="138"/>
      <c r="B138" s="153"/>
      <c r="C138" s="153"/>
      <c r="D138" s="153"/>
      <c r="E138" s="154"/>
      <c r="F138" s="154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ht="12.75" customHeight="1">
      <c r="A139" s="138"/>
      <c r="B139" s="153"/>
      <c r="C139" s="153"/>
      <c r="D139" s="153"/>
      <c r="E139" s="154"/>
      <c r="F139" s="154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ht="12.75" customHeight="1">
      <c r="A140" s="138"/>
      <c r="B140" s="153"/>
      <c r="C140" s="153"/>
      <c r="D140" s="153"/>
      <c r="E140" s="154"/>
      <c r="F140" s="154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ht="12.75" customHeight="1">
      <c r="A141" s="138"/>
      <c r="B141" s="153"/>
      <c r="C141" s="153"/>
      <c r="D141" s="153"/>
      <c r="E141" s="154"/>
      <c r="F141" s="154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2.75" customHeight="1">
      <c r="A142" s="138"/>
      <c r="B142" s="153"/>
      <c r="C142" s="153"/>
      <c r="D142" s="153"/>
      <c r="E142" s="154"/>
      <c r="F142" s="154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 ht="12.75" customHeight="1">
      <c r="A143" s="138"/>
      <c r="B143" s="153"/>
      <c r="C143" s="153"/>
      <c r="D143" s="153"/>
      <c r="E143" s="154"/>
      <c r="F143" s="154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 ht="12.75" customHeight="1">
      <c r="A144" s="138"/>
      <c r="B144" s="153"/>
      <c r="C144" s="153"/>
      <c r="D144" s="153"/>
      <c r="E144" s="154"/>
      <c r="F144" s="154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 ht="12.75" customHeight="1">
      <c r="A145" s="138"/>
      <c r="B145" s="153"/>
      <c r="C145" s="153"/>
      <c r="D145" s="153"/>
      <c r="E145" s="154"/>
      <c r="F145" s="154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 ht="12.75" customHeight="1">
      <c r="A146" s="138"/>
      <c r="B146" s="153"/>
      <c r="C146" s="153"/>
      <c r="D146" s="153"/>
      <c r="E146" s="154"/>
      <c r="F146" s="154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12.75" customHeight="1">
      <c r="A147" s="138"/>
      <c r="B147" s="153"/>
      <c r="C147" s="153"/>
      <c r="D147" s="153"/>
      <c r="E147" s="154"/>
      <c r="F147" s="154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 ht="12.75" customHeight="1">
      <c r="A148" s="138"/>
      <c r="B148" s="153"/>
      <c r="C148" s="153"/>
      <c r="D148" s="153"/>
      <c r="E148" s="154"/>
      <c r="F148" s="154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ht="12.75" customHeight="1">
      <c r="A149" s="138"/>
      <c r="B149" s="153"/>
      <c r="C149" s="153"/>
      <c r="D149" s="153"/>
      <c r="E149" s="154"/>
      <c r="F149" s="154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ht="12.75" customHeight="1">
      <c r="A150" s="138"/>
      <c r="B150" s="153"/>
      <c r="C150" s="153"/>
      <c r="D150" s="153"/>
      <c r="E150" s="154"/>
      <c r="F150" s="154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ht="12.75" customHeight="1">
      <c r="A151" s="138"/>
      <c r="B151" s="153"/>
      <c r="C151" s="153"/>
      <c r="D151" s="153"/>
      <c r="E151" s="154"/>
      <c r="F151" s="154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2.75" customHeight="1">
      <c r="A152" s="138"/>
      <c r="B152" s="153"/>
      <c r="C152" s="153"/>
      <c r="D152" s="153"/>
      <c r="E152" s="154"/>
      <c r="F152" s="154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 ht="12.75" customHeight="1">
      <c r="A153" s="138"/>
      <c r="B153" s="153"/>
      <c r="C153" s="153"/>
      <c r="D153" s="153"/>
      <c r="E153" s="154"/>
      <c r="F153" s="154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 ht="12.75" customHeight="1">
      <c r="A154" s="138"/>
      <c r="B154" s="153"/>
      <c r="C154" s="153"/>
      <c r="D154" s="153"/>
      <c r="E154" s="154"/>
      <c r="F154" s="154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 ht="12.75" customHeight="1">
      <c r="A155" s="138"/>
      <c r="B155" s="153"/>
      <c r="C155" s="153"/>
      <c r="D155" s="153"/>
      <c r="E155" s="154"/>
      <c r="F155" s="154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 ht="12.75" customHeight="1">
      <c r="A156" s="138"/>
      <c r="B156" s="153"/>
      <c r="C156" s="153"/>
      <c r="D156" s="153"/>
      <c r="E156" s="154"/>
      <c r="F156" s="154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 ht="12.75" customHeight="1">
      <c r="A157" s="138"/>
      <c r="B157" s="153"/>
      <c r="C157" s="153"/>
      <c r="D157" s="153"/>
      <c r="E157" s="154"/>
      <c r="F157" s="154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 ht="12.75" customHeight="1">
      <c r="A158" s="138"/>
      <c r="B158" s="153"/>
      <c r="C158" s="153"/>
      <c r="D158" s="153"/>
      <c r="E158" s="154"/>
      <c r="F158" s="154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ht="12.75" customHeight="1">
      <c r="A159" s="138"/>
      <c r="B159" s="153"/>
      <c r="C159" s="153"/>
      <c r="D159" s="153"/>
      <c r="E159" s="154"/>
      <c r="F159" s="154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12.75" customHeight="1">
      <c r="A160" s="138"/>
      <c r="B160" s="153"/>
      <c r="C160" s="153"/>
      <c r="D160" s="153"/>
      <c r="E160" s="154"/>
      <c r="F160" s="154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ht="12.75" customHeight="1">
      <c r="A161" s="138"/>
      <c r="B161" s="153"/>
      <c r="C161" s="153"/>
      <c r="D161" s="153"/>
      <c r="E161" s="154"/>
      <c r="F161" s="154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ht="12.75" customHeight="1">
      <c r="A162" s="138"/>
      <c r="B162" s="153"/>
      <c r="C162" s="153"/>
      <c r="D162" s="153"/>
      <c r="E162" s="154"/>
      <c r="F162" s="154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 ht="12.75" customHeight="1">
      <c r="A163" s="138"/>
      <c r="B163" s="153"/>
      <c r="C163" s="153"/>
      <c r="D163" s="153"/>
      <c r="E163" s="154"/>
      <c r="F163" s="154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 ht="12.75" customHeight="1">
      <c r="A164" s="138"/>
      <c r="B164" s="153"/>
      <c r="C164" s="153"/>
      <c r="D164" s="153"/>
      <c r="E164" s="154"/>
      <c r="F164" s="154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 ht="12.75" customHeight="1">
      <c r="A165" s="138"/>
      <c r="B165" s="153"/>
      <c r="C165" s="153"/>
      <c r="D165" s="153"/>
      <c r="E165" s="154"/>
      <c r="F165" s="154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 ht="12.75" customHeight="1">
      <c r="A166" s="138"/>
      <c r="B166" s="153"/>
      <c r="C166" s="153"/>
      <c r="D166" s="153"/>
      <c r="E166" s="154"/>
      <c r="F166" s="154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 ht="12.75" customHeight="1">
      <c r="A167" s="138"/>
      <c r="B167" s="153"/>
      <c r="C167" s="153"/>
      <c r="D167" s="153"/>
      <c r="E167" s="154"/>
      <c r="F167" s="154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 ht="12.75" customHeight="1">
      <c r="A168" s="138"/>
      <c r="B168" s="153"/>
      <c r="C168" s="153"/>
      <c r="D168" s="153"/>
      <c r="E168" s="154"/>
      <c r="F168" s="154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ht="12.75" customHeight="1">
      <c r="A169" s="138"/>
      <c r="B169" s="153"/>
      <c r="C169" s="153"/>
      <c r="D169" s="153"/>
      <c r="E169" s="154"/>
      <c r="F169" s="154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ht="12.75" customHeight="1">
      <c r="A170" s="138"/>
      <c r="B170" s="153"/>
      <c r="C170" s="153"/>
      <c r="D170" s="153"/>
      <c r="E170" s="154"/>
      <c r="F170" s="154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1:26" ht="12.75" customHeight="1">
      <c r="A171" s="138"/>
      <c r="B171" s="153"/>
      <c r="C171" s="153"/>
      <c r="D171" s="153"/>
      <c r="E171" s="154"/>
      <c r="F171" s="154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ht="12.75" customHeight="1">
      <c r="A172" s="138"/>
      <c r="B172" s="153"/>
      <c r="C172" s="153"/>
      <c r="D172" s="153"/>
      <c r="E172" s="154"/>
      <c r="F172" s="154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1:26" ht="12.75" customHeight="1">
      <c r="A173" s="138"/>
      <c r="B173" s="153"/>
      <c r="C173" s="153"/>
      <c r="D173" s="153"/>
      <c r="E173" s="154"/>
      <c r="F173" s="154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1:26" ht="12.75" customHeight="1">
      <c r="A174" s="138"/>
      <c r="B174" s="153"/>
      <c r="C174" s="153"/>
      <c r="D174" s="153"/>
      <c r="E174" s="154"/>
      <c r="F174" s="154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1:26" ht="12.75" customHeight="1">
      <c r="A175" s="138"/>
      <c r="B175" s="153"/>
      <c r="C175" s="153"/>
      <c r="D175" s="153"/>
      <c r="E175" s="154"/>
      <c r="F175" s="154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1:26" ht="12.75" customHeight="1">
      <c r="A176" s="138"/>
      <c r="B176" s="153"/>
      <c r="C176" s="153"/>
      <c r="D176" s="153"/>
      <c r="E176" s="154"/>
      <c r="F176" s="154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1:26" ht="12.75" customHeight="1">
      <c r="A177" s="138"/>
      <c r="B177" s="153"/>
      <c r="C177" s="153"/>
      <c r="D177" s="153"/>
      <c r="E177" s="154"/>
      <c r="F177" s="154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1:26" ht="12.75" customHeight="1">
      <c r="A178" s="138"/>
      <c r="B178" s="153"/>
      <c r="C178" s="153"/>
      <c r="D178" s="153"/>
      <c r="E178" s="154"/>
      <c r="F178" s="154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ht="12.75" customHeight="1">
      <c r="A179" s="138"/>
      <c r="B179" s="153"/>
      <c r="C179" s="153"/>
      <c r="D179" s="153"/>
      <c r="E179" s="154"/>
      <c r="F179" s="154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ht="12.75" customHeight="1">
      <c r="A180" s="138"/>
      <c r="B180" s="153"/>
      <c r="C180" s="153"/>
      <c r="D180" s="153"/>
      <c r="E180" s="154"/>
      <c r="F180" s="154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ht="12.75" customHeight="1">
      <c r="A181" s="138"/>
      <c r="B181" s="153"/>
      <c r="C181" s="153"/>
      <c r="D181" s="153"/>
      <c r="E181" s="154"/>
      <c r="F181" s="154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ht="12.75" customHeight="1">
      <c r="A182" s="138"/>
      <c r="B182" s="153"/>
      <c r="C182" s="153"/>
      <c r="D182" s="153"/>
      <c r="E182" s="154"/>
      <c r="F182" s="154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1:26" ht="12.75" customHeight="1">
      <c r="A183" s="138"/>
      <c r="B183" s="153"/>
      <c r="C183" s="153"/>
      <c r="D183" s="153"/>
      <c r="E183" s="154"/>
      <c r="F183" s="154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1:26" ht="12.75" customHeight="1">
      <c r="A184" s="138"/>
      <c r="B184" s="153"/>
      <c r="C184" s="153"/>
      <c r="D184" s="153"/>
      <c r="E184" s="154"/>
      <c r="F184" s="154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1:26" ht="12.75" customHeight="1">
      <c r="A185" s="138"/>
      <c r="B185" s="153"/>
      <c r="C185" s="153"/>
      <c r="D185" s="153"/>
      <c r="E185" s="154"/>
      <c r="F185" s="154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ht="12.75" customHeight="1">
      <c r="A186" s="138"/>
      <c r="B186" s="153"/>
      <c r="C186" s="153"/>
      <c r="D186" s="153"/>
      <c r="E186" s="154"/>
      <c r="F186" s="154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1:26" ht="12.75" customHeight="1">
      <c r="A187" s="138"/>
      <c r="B187" s="153"/>
      <c r="C187" s="153"/>
      <c r="D187" s="153"/>
      <c r="E187" s="154"/>
      <c r="F187" s="154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1:26" ht="12.75" customHeight="1">
      <c r="A188" s="138"/>
      <c r="B188" s="153"/>
      <c r="C188" s="153"/>
      <c r="D188" s="153"/>
      <c r="E188" s="154"/>
      <c r="F188" s="154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ht="12.75" customHeight="1">
      <c r="A189" s="138"/>
      <c r="B189" s="153"/>
      <c r="C189" s="153"/>
      <c r="D189" s="153"/>
      <c r="E189" s="154"/>
      <c r="F189" s="154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ht="12.75" customHeight="1">
      <c r="A190" s="138"/>
      <c r="B190" s="153"/>
      <c r="C190" s="153"/>
      <c r="D190" s="153"/>
      <c r="E190" s="154"/>
      <c r="F190" s="154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1:26" ht="12.75" customHeight="1">
      <c r="A191" s="138"/>
      <c r="B191" s="153"/>
      <c r="C191" s="153"/>
      <c r="D191" s="153"/>
      <c r="E191" s="154"/>
      <c r="F191" s="154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ht="12.75" customHeight="1">
      <c r="A192" s="138"/>
      <c r="B192" s="153"/>
      <c r="C192" s="153"/>
      <c r="D192" s="153"/>
      <c r="E192" s="154"/>
      <c r="F192" s="154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1:26" ht="12.75" customHeight="1">
      <c r="A193" s="138"/>
      <c r="B193" s="153"/>
      <c r="C193" s="153"/>
      <c r="D193" s="153"/>
      <c r="E193" s="154"/>
      <c r="F193" s="154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1:26" ht="12.75" customHeight="1">
      <c r="A194" s="138"/>
      <c r="B194" s="153"/>
      <c r="C194" s="153"/>
      <c r="D194" s="153"/>
      <c r="E194" s="154"/>
      <c r="F194" s="154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1:26" ht="12.75" customHeight="1">
      <c r="A195" s="138"/>
      <c r="B195" s="153"/>
      <c r="C195" s="153"/>
      <c r="D195" s="153"/>
      <c r="E195" s="154"/>
      <c r="F195" s="154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1:26" ht="12.75" customHeight="1">
      <c r="A196" s="138"/>
      <c r="B196" s="153"/>
      <c r="C196" s="153"/>
      <c r="D196" s="153"/>
      <c r="E196" s="154"/>
      <c r="F196" s="154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1:26" ht="12.75" customHeight="1">
      <c r="A197" s="138"/>
      <c r="B197" s="153"/>
      <c r="C197" s="153"/>
      <c r="D197" s="153"/>
      <c r="E197" s="154"/>
      <c r="F197" s="154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1:26" ht="12.75" customHeight="1">
      <c r="A198" s="138"/>
      <c r="B198" s="153"/>
      <c r="C198" s="153"/>
      <c r="D198" s="153"/>
      <c r="E198" s="154"/>
      <c r="F198" s="154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ht="12.75" customHeight="1">
      <c r="A199" s="138"/>
      <c r="B199" s="153"/>
      <c r="C199" s="153"/>
      <c r="D199" s="153"/>
      <c r="E199" s="154"/>
      <c r="F199" s="154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ht="12.75" customHeight="1">
      <c r="A200" s="138"/>
      <c r="B200" s="153"/>
      <c r="C200" s="153"/>
      <c r="D200" s="153"/>
      <c r="E200" s="154"/>
      <c r="F200" s="154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ht="12.75" customHeight="1">
      <c r="A201" s="138"/>
      <c r="B201" s="153"/>
      <c r="C201" s="153"/>
      <c r="D201" s="153"/>
      <c r="E201" s="154"/>
      <c r="F201" s="154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ht="12.75" customHeight="1">
      <c r="A202" s="138"/>
      <c r="B202" s="153"/>
      <c r="C202" s="153"/>
      <c r="D202" s="153"/>
      <c r="E202" s="154"/>
      <c r="F202" s="154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1:26" ht="12.75" customHeight="1">
      <c r="A203" s="138"/>
      <c r="B203" s="153"/>
      <c r="C203" s="153"/>
      <c r="D203" s="153"/>
      <c r="E203" s="154"/>
      <c r="F203" s="154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1:26" ht="12.75" customHeight="1">
      <c r="A204" s="138"/>
      <c r="B204" s="153"/>
      <c r="C204" s="153"/>
      <c r="D204" s="153"/>
      <c r="E204" s="154"/>
      <c r="F204" s="154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1:26" ht="12.75" customHeight="1">
      <c r="A205" s="138"/>
      <c r="B205" s="153"/>
      <c r="C205" s="153"/>
      <c r="D205" s="153"/>
      <c r="E205" s="154"/>
      <c r="F205" s="154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1:26" ht="12.75" customHeight="1">
      <c r="A206" s="138"/>
      <c r="B206" s="153"/>
      <c r="C206" s="153"/>
      <c r="D206" s="153"/>
      <c r="E206" s="154"/>
      <c r="F206" s="154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1:26" ht="12.75" customHeight="1">
      <c r="A207" s="138"/>
      <c r="B207" s="153"/>
      <c r="C207" s="153"/>
      <c r="D207" s="153"/>
      <c r="E207" s="154"/>
      <c r="F207" s="154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1:26" ht="12.75" customHeight="1">
      <c r="A208" s="138"/>
      <c r="B208" s="153"/>
      <c r="C208" s="153"/>
      <c r="D208" s="153"/>
      <c r="E208" s="154"/>
      <c r="F208" s="154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ht="12.75" customHeight="1">
      <c r="A209" s="138"/>
      <c r="B209" s="153"/>
      <c r="C209" s="153"/>
      <c r="D209" s="153"/>
      <c r="E209" s="154"/>
      <c r="F209" s="154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ht="12.75" customHeight="1">
      <c r="A210" s="138"/>
      <c r="B210" s="153"/>
      <c r="C210" s="153"/>
      <c r="D210" s="153"/>
      <c r="E210" s="154"/>
      <c r="F210" s="154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ht="12.75" customHeight="1">
      <c r="A211" s="138"/>
      <c r="B211" s="153"/>
      <c r="C211" s="153"/>
      <c r="D211" s="153"/>
      <c r="E211" s="154"/>
      <c r="F211" s="154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ht="12.75" customHeight="1">
      <c r="A212" s="138"/>
      <c r="B212" s="153"/>
      <c r="C212" s="153"/>
      <c r="D212" s="153"/>
      <c r="E212" s="154"/>
      <c r="F212" s="154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1:26" ht="12.75" customHeight="1">
      <c r="A213" s="138"/>
      <c r="B213" s="153"/>
      <c r="C213" s="153"/>
      <c r="D213" s="153"/>
      <c r="E213" s="154"/>
      <c r="F213" s="154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1:26" ht="12.75" customHeight="1">
      <c r="A214" s="138"/>
      <c r="B214" s="153"/>
      <c r="C214" s="153"/>
      <c r="D214" s="153"/>
      <c r="E214" s="154"/>
      <c r="F214" s="154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1:26" ht="12.75" customHeight="1">
      <c r="A215" s="138"/>
      <c r="B215" s="153"/>
      <c r="C215" s="153"/>
      <c r="D215" s="153"/>
      <c r="E215" s="154"/>
      <c r="F215" s="154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1:26" ht="12.75" customHeight="1">
      <c r="A216" s="138"/>
      <c r="B216" s="153"/>
      <c r="C216" s="153"/>
      <c r="D216" s="153"/>
      <c r="E216" s="154"/>
      <c r="F216" s="154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1:26" ht="12.75" customHeight="1">
      <c r="A217" s="138"/>
      <c r="B217" s="153"/>
      <c r="C217" s="153"/>
      <c r="D217" s="153"/>
      <c r="E217" s="154"/>
      <c r="F217" s="154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1:26" ht="12.75" customHeight="1">
      <c r="A218" s="138"/>
      <c r="B218" s="153"/>
      <c r="C218" s="153"/>
      <c r="D218" s="153"/>
      <c r="E218" s="154"/>
      <c r="F218" s="154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1:26" ht="12.75" customHeight="1">
      <c r="A219" s="138"/>
      <c r="B219" s="153"/>
      <c r="C219" s="153"/>
      <c r="D219" s="153"/>
      <c r="E219" s="154"/>
      <c r="F219" s="154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1:26" ht="12.75" customHeight="1">
      <c r="A220" s="138"/>
      <c r="B220" s="153"/>
      <c r="C220" s="153"/>
      <c r="D220" s="153"/>
      <c r="E220" s="154"/>
      <c r="F220" s="154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ht="12.75" customHeight="1">
      <c r="A221" s="138"/>
      <c r="B221" s="153"/>
      <c r="C221" s="153"/>
      <c r="D221" s="153"/>
      <c r="E221" s="154"/>
      <c r="F221" s="154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ht="12.75" customHeight="1">
      <c r="A222" s="138"/>
      <c r="B222" s="153"/>
      <c r="C222" s="153"/>
      <c r="D222" s="153"/>
      <c r="E222" s="154"/>
      <c r="F222" s="154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1:26" ht="12.75" customHeight="1">
      <c r="A223" s="138"/>
      <c r="B223" s="153"/>
      <c r="C223" s="153"/>
      <c r="D223" s="153"/>
      <c r="E223" s="154"/>
      <c r="F223" s="154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1:26" ht="12.75" customHeight="1">
      <c r="A224" s="138"/>
      <c r="B224" s="153"/>
      <c r="C224" s="153"/>
      <c r="D224" s="153"/>
      <c r="E224" s="154"/>
      <c r="F224" s="154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ht="12.75" customHeight="1">
      <c r="A225" s="138"/>
      <c r="B225" s="153"/>
      <c r="C225" s="153"/>
      <c r="D225" s="153"/>
      <c r="E225" s="154"/>
      <c r="F225" s="154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ht="12.75" customHeight="1">
      <c r="A226" s="138"/>
      <c r="B226" s="153"/>
      <c r="C226" s="153"/>
      <c r="D226" s="153"/>
      <c r="E226" s="154"/>
      <c r="F226" s="154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1:26" ht="12.75" customHeight="1">
      <c r="A227" s="138"/>
      <c r="B227" s="153"/>
      <c r="C227" s="153"/>
      <c r="D227" s="153"/>
      <c r="E227" s="154"/>
      <c r="F227" s="154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1:26" ht="12.75" customHeight="1">
      <c r="A228" s="138"/>
      <c r="B228" s="153"/>
      <c r="C228" s="153"/>
      <c r="D228" s="153"/>
      <c r="E228" s="154"/>
      <c r="F228" s="154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1:26" ht="12.75" customHeight="1">
      <c r="A229" s="138"/>
      <c r="B229" s="153"/>
      <c r="C229" s="153"/>
      <c r="D229" s="153"/>
      <c r="E229" s="154"/>
      <c r="F229" s="154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1:26" ht="12.75" customHeight="1">
      <c r="A230" s="138"/>
      <c r="B230" s="153"/>
      <c r="C230" s="153"/>
      <c r="D230" s="153"/>
      <c r="E230" s="154"/>
      <c r="F230" s="154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1:26" ht="12.75" customHeight="1">
      <c r="A231" s="138"/>
      <c r="B231" s="153"/>
      <c r="C231" s="153"/>
      <c r="D231" s="153"/>
      <c r="E231" s="154"/>
      <c r="F231" s="154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1:26" ht="12.75" customHeight="1">
      <c r="A232" s="138"/>
      <c r="B232" s="153"/>
      <c r="C232" s="153"/>
      <c r="D232" s="153"/>
      <c r="E232" s="154"/>
      <c r="F232" s="154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1:26" ht="12.75" customHeight="1">
      <c r="A233" s="138"/>
      <c r="B233" s="153"/>
      <c r="C233" s="153"/>
      <c r="D233" s="153"/>
      <c r="E233" s="154"/>
      <c r="F233" s="154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1:26" ht="12.75" customHeight="1">
      <c r="A234" s="138"/>
      <c r="B234" s="153"/>
      <c r="C234" s="153"/>
      <c r="D234" s="153"/>
      <c r="E234" s="154"/>
      <c r="F234" s="154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1:26" ht="12.75" customHeight="1">
      <c r="A235" s="138"/>
      <c r="B235" s="153"/>
      <c r="C235" s="153"/>
      <c r="D235" s="153"/>
      <c r="E235" s="154"/>
      <c r="F235" s="154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1:26" ht="12.75" customHeight="1">
      <c r="A236" s="138"/>
      <c r="B236" s="153"/>
      <c r="C236" s="153"/>
      <c r="D236" s="153"/>
      <c r="E236" s="154"/>
      <c r="F236" s="154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ht="12.75" customHeight="1">
      <c r="A237" s="138"/>
      <c r="B237" s="153"/>
      <c r="C237" s="153"/>
      <c r="D237" s="153"/>
      <c r="E237" s="154"/>
      <c r="F237" s="154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ht="12.75" customHeight="1">
      <c r="A238" s="138"/>
      <c r="B238" s="153"/>
      <c r="C238" s="153"/>
      <c r="D238" s="153"/>
      <c r="E238" s="154"/>
      <c r="F238" s="154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1:26" ht="12.75" customHeight="1">
      <c r="A239" s="138"/>
      <c r="B239" s="153"/>
      <c r="C239" s="153"/>
      <c r="D239" s="153"/>
      <c r="E239" s="154"/>
      <c r="F239" s="154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1:26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5">
    <mergeCell ref="A6:F6"/>
    <mergeCell ref="A7:F7"/>
    <mergeCell ref="A8:G8"/>
    <mergeCell ref="A9:G9"/>
    <mergeCell ref="A25:D25"/>
    <mergeCell ref="A26:D26"/>
    <mergeCell ref="A27:G27"/>
    <mergeCell ref="B29:C29"/>
    <mergeCell ref="D29:E29"/>
    <mergeCell ref="F29:G29"/>
    <mergeCell ref="D30:E30"/>
    <mergeCell ref="F30:G30"/>
    <mergeCell ref="A31:E31"/>
    <mergeCell ref="F31:G31"/>
    <mergeCell ref="D35:E35"/>
    <mergeCell ref="A37:F37"/>
    <mergeCell ref="A38:F38"/>
    <mergeCell ref="A39:G39"/>
    <mergeCell ref="B32:C32"/>
    <mergeCell ref="D32:E32"/>
    <mergeCell ref="F32:G32"/>
    <mergeCell ref="D33:E33"/>
    <mergeCell ref="A34:E34"/>
    <mergeCell ref="F34:G34"/>
    <mergeCell ref="B35:C35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J20" sqref="J20"/>
    </sheetView>
  </sheetViews>
  <sheetFormatPr defaultColWidth="14.42578125" defaultRowHeight="15" customHeight="1"/>
  <cols>
    <col min="1" max="1" width="5.85546875" customWidth="1"/>
    <col min="2" max="2" width="18.28515625" customWidth="1"/>
    <col min="3" max="3" width="33.5703125" customWidth="1"/>
    <col min="4" max="4" width="12.5703125" customWidth="1"/>
    <col min="5" max="5" width="13.28515625" customWidth="1"/>
    <col min="6" max="6" width="8.7109375" customWidth="1"/>
    <col min="7" max="8" width="14.28515625" customWidth="1"/>
  </cols>
  <sheetData>
    <row r="1" spans="1:8" ht="12.75" customHeight="1">
      <c r="A1" s="338" t="s">
        <v>321</v>
      </c>
      <c r="B1" s="339"/>
      <c r="C1" s="339"/>
      <c r="D1" s="339"/>
      <c r="E1" s="339"/>
      <c r="F1" s="339"/>
      <c r="G1" s="340"/>
    </row>
    <row r="2" spans="1:8" ht="12.75" customHeight="1">
      <c r="A2" s="341" t="s">
        <v>343</v>
      </c>
      <c r="B2" s="236"/>
      <c r="C2" s="236"/>
      <c r="D2" s="236"/>
      <c r="E2" s="236"/>
      <c r="F2" s="236"/>
      <c r="G2" s="237"/>
    </row>
    <row r="3" spans="1:8" ht="12.75" customHeight="1">
      <c r="A3" s="325" t="s">
        <v>1</v>
      </c>
      <c r="B3" s="236"/>
      <c r="C3" s="236"/>
      <c r="D3" s="236"/>
      <c r="E3" s="237"/>
      <c r="F3" s="326" t="s">
        <v>341</v>
      </c>
      <c r="G3" s="237"/>
    </row>
    <row r="4" spans="1:8" ht="12.75" customHeight="1">
      <c r="A4" s="325" t="s">
        <v>322</v>
      </c>
      <c r="B4" s="236"/>
      <c r="C4" s="236"/>
      <c r="D4" s="236"/>
      <c r="E4" s="237"/>
      <c r="F4" s="326" t="str">
        <f>'44H - Lajeado'!F5</f>
        <v>Pregão IFSul nº 09/2021</v>
      </c>
      <c r="G4" s="237"/>
    </row>
    <row r="5" spans="1:8" ht="12.75" customHeight="1">
      <c r="A5" s="325" t="s">
        <v>346</v>
      </c>
      <c r="B5" s="236"/>
      <c r="C5" s="236"/>
      <c r="D5" s="236"/>
      <c r="E5" s="236"/>
      <c r="F5" s="236"/>
      <c r="G5" s="237"/>
    </row>
    <row r="6" spans="1:8" ht="12.75" customHeight="1">
      <c r="A6" s="336" t="s">
        <v>3</v>
      </c>
      <c r="B6" s="236"/>
      <c r="C6" s="236"/>
      <c r="D6" s="236"/>
      <c r="E6" s="236"/>
      <c r="F6" s="236"/>
      <c r="G6" s="237"/>
    </row>
    <row r="7" spans="1:8" ht="12.75" customHeight="1">
      <c r="A7" s="173" t="s">
        <v>4</v>
      </c>
      <c r="B7" s="325" t="s">
        <v>5</v>
      </c>
      <c r="C7" s="236"/>
      <c r="D7" s="236"/>
      <c r="E7" s="237"/>
      <c r="F7" s="337"/>
      <c r="G7" s="237"/>
    </row>
    <row r="8" spans="1:8" ht="12.75" customHeight="1">
      <c r="A8" s="173" t="s">
        <v>6</v>
      </c>
      <c r="B8" s="325" t="s">
        <v>7</v>
      </c>
      <c r="C8" s="236"/>
      <c r="D8" s="236"/>
      <c r="E8" s="237"/>
      <c r="F8" s="299" t="s">
        <v>323</v>
      </c>
      <c r="G8" s="196"/>
    </row>
    <row r="9" spans="1:8" ht="12.75" customHeight="1">
      <c r="A9" s="173" t="s">
        <v>9</v>
      </c>
      <c r="B9" s="325" t="s">
        <v>324</v>
      </c>
      <c r="C9" s="236"/>
      <c r="D9" s="236"/>
      <c r="E9" s="237"/>
      <c r="F9" s="326" t="s">
        <v>325</v>
      </c>
      <c r="G9" s="237"/>
    </row>
    <row r="10" spans="1:8" ht="12.75" customHeight="1">
      <c r="A10" s="173" t="s">
        <v>11</v>
      </c>
      <c r="B10" s="325" t="s">
        <v>12</v>
      </c>
      <c r="C10" s="236"/>
      <c r="D10" s="236"/>
      <c r="E10" s="237"/>
      <c r="F10" s="326">
        <v>20</v>
      </c>
      <c r="G10" s="237"/>
    </row>
    <row r="11" spans="1:8" ht="12.75" customHeight="1">
      <c r="A11" s="327" t="s">
        <v>326</v>
      </c>
      <c r="B11" s="328"/>
      <c r="C11" s="328"/>
      <c r="D11" s="328"/>
      <c r="E11" s="328"/>
      <c r="F11" s="328"/>
      <c r="G11" s="329"/>
    </row>
    <row r="12" spans="1:8" ht="12.75" customHeight="1">
      <c r="A12" s="174"/>
      <c r="B12" s="199" t="s">
        <v>327</v>
      </c>
      <c r="C12" s="196"/>
      <c r="D12" s="3" t="s">
        <v>328</v>
      </c>
      <c r="E12" s="3" t="s">
        <v>329</v>
      </c>
      <c r="F12" s="3" t="s">
        <v>330</v>
      </c>
      <c r="G12" s="3" t="s">
        <v>331</v>
      </c>
    </row>
    <row r="13" spans="1:8" ht="18" customHeight="1">
      <c r="A13" s="147" t="s">
        <v>332</v>
      </c>
      <c r="B13" s="330" t="s">
        <v>333</v>
      </c>
      <c r="C13" s="196"/>
      <c r="D13" s="147">
        <v>1</v>
      </c>
      <c r="E13" s="175">
        <f>'44H - Lajeado'!E184:F184</f>
        <v>4147.5551216457143</v>
      </c>
      <c r="F13" s="176">
        <v>1</v>
      </c>
      <c r="G13" s="175">
        <f t="shared" ref="G13:G15" si="0">PRODUCT(E13:F13)</f>
        <v>4147.5551216457143</v>
      </c>
    </row>
    <row r="14" spans="1:8" ht="18" customHeight="1">
      <c r="A14" s="147" t="s">
        <v>334</v>
      </c>
      <c r="B14" s="330" t="s">
        <v>335</v>
      </c>
      <c r="C14" s="196"/>
      <c r="D14" s="147">
        <v>1</v>
      </c>
      <c r="E14" s="175">
        <f>'44H - Gravataí'!E184:F184</f>
        <v>4066.7428639999998</v>
      </c>
      <c r="F14" s="176">
        <v>1</v>
      </c>
      <c r="G14" s="175">
        <f t="shared" si="0"/>
        <v>4066.7428639999998</v>
      </c>
    </row>
    <row r="15" spans="1:8" ht="18" customHeight="1">
      <c r="A15" s="147" t="s">
        <v>334</v>
      </c>
      <c r="B15" s="330" t="s">
        <v>336</v>
      </c>
      <c r="C15" s="196"/>
      <c r="D15" s="147">
        <v>1</v>
      </c>
      <c r="E15" s="175">
        <f>'30H - Gravataí'!E184:F184</f>
        <v>3657.9268664685715</v>
      </c>
      <c r="F15" s="176">
        <v>1</v>
      </c>
      <c r="G15" s="175">
        <f t="shared" si="0"/>
        <v>3657.9268664685715</v>
      </c>
      <c r="H15" s="177"/>
    </row>
    <row r="16" spans="1:8" ht="12.75" customHeight="1">
      <c r="A16" s="331" t="s">
        <v>337</v>
      </c>
      <c r="B16" s="332"/>
      <c r="C16" s="332"/>
      <c r="D16" s="332"/>
      <c r="E16" s="332"/>
      <c r="F16" s="333"/>
      <c r="G16" s="178">
        <f>SUM(G13:G15)</f>
        <v>11872.224852114285</v>
      </c>
    </row>
    <row r="17" spans="1:7" ht="12.75" customHeight="1">
      <c r="A17" s="179"/>
      <c r="B17" s="180"/>
      <c r="C17" s="180"/>
      <c r="D17" s="180"/>
      <c r="E17" s="180"/>
      <c r="F17" s="180"/>
      <c r="G17" s="181"/>
    </row>
    <row r="18" spans="1:7" ht="12.75" customHeight="1">
      <c r="A18" s="334" t="s">
        <v>338</v>
      </c>
      <c r="B18" s="324"/>
      <c r="C18" s="324"/>
      <c r="D18" s="324"/>
      <c r="E18" s="324"/>
      <c r="F18" s="324"/>
      <c r="G18" s="335"/>
    </row>
    <row r="19" spans="1:7" ht="12.75" customHeight="1">
      <c r="A19" s="182" t="s">
        <v>4</v>
      </c>
      <c r="B19" s="322" t="s">
        <v>182</v>
      </c>
      <c r="C19" s="189"/>
      <c r="D19" s="189"/>
      <c r="E19" s="189"/>
      <c r="F19" s="189"/>
      <c r="G19" s="183">
        <f>G16</f>
        <v>11872.224852114285</v>
      </c>
    </row>
    <row r="20" spans="1:7" ht="12.75" customHeight="1">
      <c r="A20" s="184" t="s">
        <v>6</v>
      </c>
      <c r="B20" s="322" t="s">
        <v>339</v>
      </c>
      <c r="C20" s="189"/>
      <c r="D20" s="189"/>
      <c r="E20" s="189"/>
      <c r="F20" s="189"/>
      <c r="G20" s="185">
        <v>20</v>
      </c>
    </row>
    <row r="21" spans="1:7" ht="12.75" customHeight="1">
      <c r="A21" s="186" t="s">
        <v>9</v>
      </c>
      <c r="B21" s="323" t="s">
        <v>340</v>
      </c>
      <c r="C21" s="324"/>
      <c r="D21" s="324"/>
      <c r="E21" s="324"/>
      <c r="F21" s="324"/>
      <c r="G21" s="187">
        <f>G16*20</f>
        <v>237444.49704228569</v>
      </c>
    </row>
    <row r="22" spans="1:7" ht="12.75" customHeight="1"/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A1:G1"/>
    <mergeCell ref="A2:G2"/>
    <mergeCell ref="A3:E3"/>
    <mergeCell ref="F3:G3"/>
    <mergeCell ref="A4:E4"/>
    <mergeCell ref="F4:G4"/>
    <mergeCell ref="A5:G5"/>
    <mergeCell ref="A6:G6"/>
    <mergeCell ref="B7:E7"/>
    <mergeCell ref="F7:G7"/>
    <mergeCell ref="B8:E8"/>
    <mergeCell ref="F8:G8"/>
    <mergeCell ref="B9:E9"/>
    <mergeCell ref="F9:G9"/>
    <mergeCell ref="A16:F16"/>
    <mergeCell ref="A18:G18"/>
    <mergeCell ref="B19:F19"/>
    <mergeCell ref="B20:F20"/>
    <mergeCell ref="B21:F21"/>
    <mergeCell ref="B10:E10"/>
    <mergeCell ref="F10:G10"/>
    <mergeCell ref="A11:G11"/>
    <mergeCell ref="B12:C12"/>
    <mergeCell ref="B13:C13"/>
    <mergeCell ref="B14:C14"/>
    <mergeCell ref="B15:C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44H - Lajeado</vt:lpstr>
      <vt:lpstr>44H - Gravataí</vt:lpstr>
      <vt:lpstr>30H - Gravataí</vt:lpstr>
      <vt:lpstr>INSUMOS - Lajeado</vt:lpstr>
      <vt:lpstr>INSUMOS - Gravataí</vt:lpstr>
      <vt:lpstr>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Keller</dc:creator>
  <cp:lastModifiedBy>IF Sul-rio-grandense</cp:lastModifiedBy>
  <dcterms:created xsi:type="dcterms:W3CDTF">2021-10-07T15:34:06Z</dcterms:created>
  <dcterms:modified xsi:type="dcterms:W3CDTF">2021-12-15T17:48:33Z</dcterms:modified>
</cp:coreProperties>
</file>